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696" lockStructure="1"/>
  <bookViews>
    <workbookView windowWidth="28125" windowHeight="12540" tabRatio="883" activeTab="1"/>
  </bookViews>
  <sheets>
    <sheet name="rev. 020712" sheetId="1" r:id="rId1"/>
    <sheet name="TM-21 Inputs" sheetId="2" r:id="rId2"/>
    <sheet name="Product Inputs" sheetId="3" state="hidden" r:id="rId3"/>
    <sheet name="TM-21 Projection" sheetId="8" state="hidden" r:id="rId4"/>
    <sheet name="TM-21 Report" sheetId="13" r:id="rId5"/>
    <sheet name="Hide when public ==&gt;" sheetId="11" state="hidden" r:id="rId6"/>
    <sheet name="Calculations - Case Temp 1" sheetId="5" state="hidden" r:id="rId7"/>
    <sheet name="Calculations - Case Temp 2" sheetId="6" state="hidden" r:id="rId8"/>
    <sheet name="Calculations - Case Temp 3" sheetId="7" state="hidden" r:id="rId9"/>
  </sheets>
  <definedNames>
    <definedName name="_xlnm.Print_Area" localSheetId="1">'TM-21 Inputs'!$A$1:$T$46</definedName>
  </definedNames>
  <calcPr calcId="144525"/>
</workbook>
</file>

<file path=xl/sharedStrings.xml><?xml version="1.0" encoding="utf-8"?>
<sst xmlns="http://schemas.openxmlformats.org/spreadsheetml/2006/main" count="165" uniqueCount="101">
  <si>
    <r>
      <rPr>
        <b/>
        <sz val="18"/>
        <rFont val="Arial"/>
        <charset val="134"/>
      </rPr>
      <t xml:space="preserve">       ENERGY STAR</t>
    </r>
    <r>
      <rPr>
        <b/>
        <vertAlign val="superscript"/>
        <sz val="18"/>
        <rFont val="Arial"/>
        <charset val="134"/>
      </rPr>
      <t>®</t>
    </r>
    <r>
      <rPr>
        <b/>
        <sz val="18"/>
        <rFont val="Arial"/>
        <charset val="134"/>
      </rPr>
      <t xml:space="preserve"> TM-21 Calculator</t>
    </r>
    <r>
      <rPr>
        <b/>
        <u/>
        <sz val="18"/>
        <rFont val="Arial"/>
        <charset val="134"/>
      </rPr>
      <t xml:space="preserve">
</t>
    </r>
  </si>
  <si>
    <r>
      <rPr>
        <b/>
        <sz val="12"/>
        <color theme="1"/>
        <rFont val="Arial"/>
        <charset val="134"/>
      </rPr>
      <t>Note: Users should download a new copy of this calculator for each use, to ensure use of the most up-to-date version of the calculator.  Users are encouraged to bookmark the hyperlink to this calculator.  Project-specific copies complete with calculations may be saved on a local drive.</t>
    </r>
    <r>
      <rPr>
        <sz val="14"/>
        <color theme="1"/>
        <rFont val="Arial"/>
        <charset val="134"/>
      </rPr>
      <t xml:space="preserve">
</t>
    </r>
    <r>
      <rPr>
        <sz val="10"/>
        <color theme="1"/>
        <rFont val="Arial"/>
        <charset val="134"/>
      </rPr>
      <t xml:space="preserve"> </t>
    </r>
    <r>
      <rPr>
        <sz val="14"/>
        <color theme="1"/>
        <rFont val="Arial"/>
        <charset val="134"/>
      </rPr>
      <t xml:space="preserve">
</t>
    </r>
    <r>
      <rPr>
        <sz val="12"/>
        <color theme="1"/>
        <rFont val="Arial"/>
        <charset val="134"/>
      </rPr>
      <t xml:space="preserve">This calculator is based on the Illuminating Engineering Society’s TM-21-11: </t>
    </r>
    <r>
      <rPr>
        <i/>
        <sz val="12"/>
        <color theme="1"/>
        <rFont val="Arial"/>
        <charset val="134"/>
      </rPr>
      <t>Projecting Long Term Lumen Maintenance of LED Light Sources</t>
    </r>
    <r>
      <rPr>
        <sz val="12"/>
        <color theme="1"/>
        <rFont val="Arial"/>
        <charset val="134"/>
      </rPr>
      <t>.  Calculator results have been validated by the U.S. National Institute of Standards and Technology (NIST).  Calculations are locked; only data entry cells may be modified.
Calculator inputs are entered on the second tab, with instructions. The calculator may be used with one, two or three case temperatures.  Inputting values on the second tab generates a complete TM-21 report on the Report tab.
Questions may be directed to luminaires@energystar.gov or lamps@energystar.gov.</t>
    </r>
  </si>
  <si>
    <t>TM-21 Inputs</t>
  </si>
  <si>
    <t>LM-80 Test Inputs</t>
  </si>
  <si>
    <t>Instructions</t>
  </si>
  <si>
    <t>Description of LED Light Source Tested 
(manufacturer, model, catalog number)</t>
  </si>
  <si>
    <r>
      <rPr>
        <sz val="14"/>
        <color theme="1"/>
        <rFont val="Arial"/>
        <charset val="134"/>
      </rPr>
      <t xml:space="preserve">Yellow fields are completed by the user.  Fields not used should be left blank.  Cyan fields are calculated based on user entries.
First, enter a description of the LED light source tested.  Then complete the fields labeled "LM-80 Testing Details".  Test duration must be at least 6,000 hours.  If only one case temperature data set is to be used (no interpolation), complete only "Tested case temperature 1".  For only two case temperature data sets, complete 1 and 2.
Next, further to the right, in the corresponding box(es) for each tested case temperature, enter the test data along with the time (in hours) at which each measurement was taken.  Data entered must be normalized then averaged measured data (per TM-21 sections 5.2.1 and 5.2.2).
Enter drive current, </t>
    </r>
    <r>
      <rPr>
        <i/>
        <sz val="14"/>
        <color theme="1"/>
        <rFont val="Arial"/>
        <charset val="134"/>
      </rPr>
      <t>in-situ</t>
    </r>
    <r>
      <rPr>
        <sz val="14"/>
        <color theme="1"/>
        <rFont val="Arial"/>
        <charset val="134"/>
      </rPr>
      <t xml:space="preserve"> temperature data and the percentage of initial lumens to project to in the fields labeled "</t>
    </r>
    <r>
      <rPr>
        <i/>
        <sz val="14"/>
        <color theme="1"/>
        <rFont val="Arial"/>
        <charset val="134"/>
      </rPr>
      <t>In-Situ</t>
    </r>
    <r>
      <rPr>
        <sz val="14"/>
        <color theme="1"/>
        <rFont val="Arial"/>
        <charset val="134"/>
      </rPr>
      <t xml:space="preserve"> Inputs".
Results can be tailored to estimate lumen maintenance at a specific time by entering a value (t) in the yellow field.
A complete TM-21 report will appear on the next tab labeled "Report".</t>
    </r>
  </si>
  <si>
    <t>Time (hours)</t>
  </si>
  <si>
    <t>Lumen Maintenance (%)</t>
  </si>
  <si>
    <t>LM-80 Testing Details</t>
  </si>
  <si>
    <t>Total number of units tested per case temperature:</t>
  </si>
  <si>
    <t>Number of failures:</t>
  </si>
  <si>
    <t>Number of units measured:</t>
  </si>
  <si>
    <t>Test duration (hours):</t>
  </si>
  <si>
    <t>Tested drive current (mA):</t>
  </si>
  <si>
    <r>
      <rPr>
        <sz val="14"/>
        <color theme="1"/>
        <rFont val="Arial"/>
        <charset val="134"/>
      </rPr>
      <t>Tested case temperature 1 (T</t>
    </r>
    <r>
      <rPr>
        <vertAlign val="subscript"/>
        <sz val="14"/>
        <color theme="1"/>
        <rFont val="Arial"/>
        <charset val="134"/>
      </rPr>
      <t>c</t>
    </r>
    <r>
      <rPr>
        <sz val="14"/>
        <color theme="1"/>
        <rFont val="Arial"/>
        <charset val="134"/>
      </rPr>
      <t>, ⁰C):</t>
    </r>
  </si>
  <si>
    <r>
      <rPr>
        <sz val="14"/>
        <color theme="1"/>
        <rFont val="Arial"/>
        <charset val="134"/>
      </rPr>
      <t>Tested case temperature 2 (T</t>
    </r>
    <r>
      <rPr>
        <vertAlign val="subscript"/>
        <sz val="14"/>
        <color theme="1"/>
        <rFont val="Arial"/>
        <charset val="134"/>
      </rPr>
      <t>c</t>
    </r>
    <r>
      <rPr>
        <sz val="14"/>
        <color theme="1"/>
        <rFont val="Arial"/>
        <charset val="134"/>
      </rPr>
      <t>, ⁰C):</t>
    </r>
  </si>
  <si>
    <r>
      <rPr>
        <sz val="14"/>
        <color theme="1"/>
        <rFont val="Arial"/>
        <charset val="134"/>
      </rPr>
      <t>Tested case temperature 3 (T</t>
    </r>
    <r>
      <rPr>
        <vertAlign val="subscript"/>
        <sz val="14"/>
        <color theme="1"/>
        <rFont val="Arial"/>
        <charset val="134"/>
      </rPr>
      <t>c</t>
    </r>
    <r>
      <rPr>
        <sz val="14"/>
        <color theme="1"/>
        <rFont val="Arial"/>
        <charset val="134"/>
      </rPr>
      <t>, ⁰C):</t>
    </r>
  </si>
  <si>
    <r>
      <rPr>
        <b/>
        <i/>
        <sz val="20"/>
        <color theme="1"/>
        <rFont val="Arial"/>
        <charset val="134"/>
      </rPr>
      <t xml:space="preserve">In-Situ </t>
    </r>
    <r>
      <rPr>
        <b/>
        <sz val="20"/>
        <color theme="1"/>
        <rFont val="Arial"/>
        <charset val="134"/>
      </rPr>
      <t>Inputs</t>
    </r>
  </si>
  <si>
    <t>Drive current for each 
LED package/array/module (mA):</t>
  </si>
  <si>
    <r>
      <rPr>
        <i/>
        <sz val="14"/>
        <color theme="1"/>
        <rFont val="Arial"/>
        <charset val="134"/>
      </rPr>
      <t>In-situ</t>
    </r>
    <r>
      <rPr>
        <sz val="14"/>
        <color theme="1"/>
        <rFont val="Arial"/>
        <charset val="134"/>
      </rPr>
      <t xml:space="preserve"> case temperature (T</t>
    </r>
    <r>
      <rPr>
        <vertAlign val="subscript"/>
        <sz val="14"/>
        <color theme="1"/>
        <rFont val="Arial"/>
        <charset val="134"/>
      </rPr>
      <t>c</t>
    </r>
    <r>
      <rPr>
        <sz val="14"/>
        <color theme="1"/>
        <rFont val="Arial"/>
        <charset val="134"/>
      </rPr>
      <t>, ⁰C):</t>
    </r>
  </si>
  <si>
    <r>
      <rPr>
        <sz val="14"/>
        <color theme="1"/>
        <rFont val="Arial"/>
        <charset val="134"/>
      </rPr>
      <t>Percentage of initial lumens to project to (e.g. for L</t>
    </r>
    <r>
      <rPr>
        <vertAlign val="subscript"/>
        <sz val="14"/>
        <color theme="1"/>
        <rFont val="Arial"/>
        <charset val="134"/>
      </rPr>
      <t>70</t>
    </r>
    <r>
      <rPr>
        <sz val="14"/>
        <color theme="1"/>
        <rFont val="Arial"/>
        <charset val="134"/>
      </rPr>
      <t>, enter 70):</t>
    </r>
  </si>
  <si>
    <t>Results</t>
  </si>
  <si>
    <t>Time (t) at which to estimate lumen maintenance (hours):</t>
  </si>
  <si>
    <t>Lumen maintenance at time (t) (%):</t>
  </si>
  <si>
    <t>Calculations:</t>
  </si>
  <si>
    <r>
      <rPr>
        <sz val="11"/>
        <color theme="1"/>
        <rFont val="宋体"/>
        <charset val="134"/>
        <scheme val="minor"/>
      </rPr>
      <t>Minimum Case Temperature (T</t>
    </r>
    <r>
      <rPr>
        <vertAlign val="subscript"/>
        <sz val="11"/>
        <color theme="1"/>
        <rFont val="宋体"/>
        <charset val="134"/>
        <scheme val="minor"/>
      </rPr>
      <t>s,1</t>
    </r>
    <r>
      <rPr>
        <sz val="11"/>
        <color theme="1"/>
        <rFont val="宋体"/>
        <charset val="134"/>
        <scheme val="minor"/>
      </rPr>
      <t>) for Extrapolation (K):</t>
    </r>
  </si>
  <si>
    <r>
      <rPr>
        <sz val="11"/>
        <color theme="1"/>
        <rFont val="Calibri"/>
        <charset val="134"/>
      </rPr>
      <t>α</t>
    </r>
    <r>
      <rPr>
        <vertAlign val="subscript"/>
        <sz val="11"/>
        <color theme="1"/>
        <rFont val="Calibri"/>
        <charset val="134"/>
      </rPr>
      <t>1</t>
    </r>
  </si>
  <si>
    <t>Table 1: Report at each LM-80 Test Condition</t>
  </si>
  <si>
    <r>
      <rPr>
        <sz val="11"/>
        <color theme="1"/>
        <rFont val="宋体"/>
        <charset val="134"/>
        <scheme val="minor"/>
      </rPr>
      <t>B</t>
    </r>
    <r>
      <rPr>
        <vertAlign val="subscript"/>
        <sz val="11"/>
        <color theme="1"/>
        <rFont val="宋体"/>
        <charset val="134"/>
        <scheme val="minor"/>
      </rPr>
      <t>1</t>
    </r>
  </si>
  <si>
    <t>Case Temperature 1</t>
  </si>
  <si>
    <t>Case Temperature 2</t>
  </si>
  <si>
    <t>Case Temperature 3</t>
  </si>
  <si>
    <r>
      <rPr>
        <sz val="11"/>
        <color theme="1"/>
        <rFont val="宋体"/>
        <charset val="134"/>
        <scheme val="minor"/>
      </rPr>
      <t>Maximum Case Temperature (T</t>
    </r>
    <r>
      <rPr>
        <vertAlign val="subscript"/>
        <sz val="11"/>
        <color theme="1"/>
        <rFont val="宋体"/>
        <charset val="134"/>
        <scheme val="minor"/>
      </rPr>
      <t>s,2</t>
    </r>
    <r>
      <rPr>
        <sz val="11"/>
        <color theme="1"/>
        <rFont val="宋体"/>
        <charset val="134"/>
        <scheme val="minor"/>
      </rPr>
      <t>) for Extrapolation (K):</t>
    </r>
  </si>
  <si>
    <t>Temperature (⁰C):</t>
  </si>
  <si>
    <r>
      <rPr>
        <sz val="11"/>
        <color theme="1"/>
        <rFont val="Calibri"/>
        <charset val="134"/>
      </rPr>
      <t>α</t>
    </r>
    <r>
      <rPr>
        <vertAlign val="subscript"/>
        <sz val="9.35"/>
        <color theme="1"/>
        <rFont val="Calibri"/>
        <charset val="134"/>
      </rPr>
      <t>2</t>
    </r>
  </si>
  <si>
    <t>Temperature (⁰K):</t>
  </si>
  <si>
    <r>
      <rPr>
        <sz val="11"/>
        <color theme="1"/>
        <rFont val="宋体"/>
        <charset val="134"/>
        <scheme val="minor"/>
      </rPr>
      <t>B</t>
    </r>
    <r>
      <rPr>
        <vertAlign val="subscript"/>
        <sz val="11"/>
        <color theme="1"/>
        <rFont val="宋体"/>
        <charset val="134"/>
        <scheme val="minor"/>
      </rPr>
      <t>2</t>
    </r>
  </si>
  <si>
    <r>
      <rPr>
        <sz val="11"/>
        <color theme="1"/>
        <rFont val="宋体"/>
        <charset val="134"/>
        <scheme val="minor"/>
      </rPr>
      <t>E</t>
    </r>
    <r>
      <rPr>
        <vertAlign val="subscript"/>
        <sz val="11"/>
        <color theme="1"/>
        <rFont val="宋体"/>
        <charset val="134"/>
        <scheme val="minor"/>
      </rPr>
      <t>a</t>
    </r>
    <r>
      <rPr>
        <sz val="11"/>
        <color theme="1"/>
        <rFont val="宋体"/>
        <charset val="134"/>
        <scheme val="minor"/>
      </rPr>
      <t>/k</t>
    </r>
    <r>
      <rPr>
        <vertAlign val="subscript"/>
        <sz val="11"/>
        <color theme="1"/>
        <rFont val="宋体"/>
        <charset val="134"/>
        <scheme val="minor"/>
      </rPr>
      <t>b</t>
    </r>
  </si>
  <si>
    <r>
      <rPr>
        <sz val="11"/>
        <color theme="1"/>
        <rFont val="宋体"/>
        <charset val="134"/>
        <scheme val="minor"/>
      </rPr>
      <t>k</t>
    </r>
    <r>
      <rPr>
        <vertAlign val="subscript"/>
        <sz val="11"/>
        <color theme="1"/>
        <rFont val="宋体"/>
        <charset val="134"/>
        <scheme val="minor"/>
      </rPr>
      <t>b</t>
    </r>
    <r>
      <rPr>
        <sz val="11"/>
        <color theme="1"/>
        <rFont val="宋体"/>
        <charset val="134"/>
        <scheme val="minor"/>
      </rPr>
      <t xml:space="preserve"> (eV/K)</t>
    </r>
  </si>
  <si>
    <r>
      <rPr>
        <sz val="11"/>
        <color theme="1"/>
        <rFont val="宋体"/>
        <charset val="134"/>
        <scheme val="minor"/>
      </rPr>
      <t>E</t>
    </r>
    <r>
      <rPr>
        <vertAlign val="subscript"/>
        <sz val="11"/>
        <color theme="1"/>
        <rFont val="宋体"/>
        <charset val="134"/>
        <scheme val="minor"/>
      </rPr>
      <t>a</t>
    </r>
    <r>
      <rPr>
        <sz val="11"/>
        <color theme="1"/>
        <rFont val="宋体"/>
        <charset val="134"/>
        <scheme val="minor"/>
      </rPr>
      <t xml:space="preserve"> (eV)</t>
    </r>
  </si>
  <si>
    <t>A</t>
  </si>
  <si>
    <r>
      <rPr>
        <sz val="11"/>
        <color theme="1"/>
        <rFont val="宋体"/>
        <charset val="134"/>
        <scheme val="minor"/>
      </rPr>
      <t>B</t>
    </r>
    <r>
      <rPr>
        <vertAlign val="subscript"/>
        <sz val="11"/>
        <color theme="1"/>
        <rFont val="宋体"/>
        <charset val="134"/>
        <scheme val="minor"/>
      </rPr>
      <t>0</t>
    </r>
  </si>
  <si>
    <r>
      <rPr>
        <sz val="11"/>
        <color theme="1"/>
        <rFont val="宋体"/>
        <charset val="134"/>
        <scheme val="minor"/>
      </rPr>
      <t>In Situ Case Temperature (T</t>
    </r>
    <r>
      <rPr>
        <vertAlign val="subscript"/>
        <sz val="11"/>
        <color theme="1"/>
        <rFont val="宋体"/>
        <charset val="134"/>
        <scheme val="minor"/>
      </rPr>
      <t>s,i</t>
    </r>
    <r>
      <rPr>
        <sz val="11"/>
        <color theme="1"/>
        <rFont val="宋体"/>
        <charset val="134"/>
        <scheme val="minor"/>
      </rPr>
      <t>) (K):</t>
    </r>
  </si>
  <si>
    <t>Table 2: Report for Interpolation (based on in-situ temperature)</t>
  </si>
  <si>
    <r>
      <rPr>
        <sz val="11"/>
        <color theme="1"/>
        <rFont val="Calibri"/>
        <charset val="134"/>
      </rPr>
      <t>α</t>
    </r>
    <r>
      <rPr>
        <vertAlign val="subscript"/>
        <sz val="11"/>
        <color theme="1"/>
        <rFont val="Calibri"/>
        <charset val="134"/>
      </rPr>
      <t>i</t>
    </r>
  </si>
  <si>
    <t>Number of Samples Tested:</t>
  </si>
  <si>
    <r>
      <rPr>
        <sz val="11"/>
        <color theme="1"/>
        <rFont val="宋体"/>
        <charset val="134"/>
        <scheme val="minor"/>
      </rPr>
      <t>T</t>
    </r>
    <r>
      <rPr>
        <vertAlign val="subscript"/>
        <sz val="11"/>
        <color theme="1"/>
        <rFont val="宋体"/>
        <charset val="134"/>
        <scheme val="minor"/>
      </rPr>
      <t>s,1</t>
    </r>
    <r>
      <rPr>
        <sz val="11"/>
        <color theme="1"/>
        <rFont val="宋体"/>
        <charset val="134"/>
        <scheme val="minor"/>
      </rPr>
      <t xml:space="preserve"> (</t>
    </r>
    <r>
      <rPr>
        <sz val="11"/>
        <color theme="1"/>
        <rFont val="Calibri"/>
        <charset val="134"/>
      </rPr>
      <t>⁰C</t>
    </r>
    <r>
      <rPr>
        <sz val="11"/>
        <color theme="1"/>
        <rFont val="宋体"/>
        <charset val="134"/>
        <scheme val="minor"/>
      </rPr>
      <t>)</t>
    </r>
  </si>
  <si>
    <t>Number of Failures:</t>
  </si>
  <si>
    <r>
      <rPr>
        <sz val="11"/>
        <color theme="1"/>
        <rFont val="宋体"/>
        <charset val="134"/>
        <scheme val="minor"/>
      </rPr>
      <t>T</t>
    </r>
    <r>
      <rPr>
        <vertAlign val="subscript"/>
        <sz val="11"/>
        <color theme="1"/>
        <rFont val="宋体"/>
        <charset val="134"/>
        <scheme val="minor"/>
      </rPr>
      <t>s,1</t>
    </r>
    <r>
      <rPr>
        <sz val="11"/>
        <color theme="1"/>
        <rFont val="宋体"/>
        <charset val="134"/>
        <scheme val="minor"/>
      </rPr>
      <t xml:space="preserve"> (K)</t>
    </r>
  </si>
  <si>
    <t>Number of Samples Measured:</t>
  </si>
  <si>
    <t>DUT drive current used in the test (mA):</t>
  </si>
  <si>
    <t>Test duration (hrs):</t>
  </si>
  <si>
    <r>
      <rPr>
        <sz val="11"/>
        <color theme="1"/>
        <rFont val="宋体"/>
        <charset val="134"/>
        <scheme val="minor"/>
      </rPr>
      <t>T</t>
    </r>
    <r>
      <rPr>
        <vertAlign val="subscript"/>
        <sz val="11"/>
        <color theme="1"/>
        <rFont val="宋体"/>
        <charset val="134"/>
        <scheme val="minor"/>
      </rPr>
      <t>s,2</t>
    </r>
    <r>
      <rPr>
        <sz val="11"/>
        <color theme="1"/>
        <rFont val="宋体"/>
        <charset val="134"/>
        <scheme val="minor"/>
      </rPr>
      <t xml:space="preserve"> (⁰C)</t>
    </r>
  </si>
  <si>
    <t>Test duration used for projection (hr to hr):</t>
  </si>
  <si>
    <r>
      <rPr>
        <sz val="11"/>
        <color theme="1"/>
        <rFont val="宋体"/>
        <charset val="134"/>
        <scheme val="minor"/>
      </rPr>
      <t>T</t>
    </r>
    <r>
      <rPr>
        <vertAlign val="subscript"/>
        <sz val="11"/>
        <color theme="1"/>
        <rFont val="宋体"/>
        <charset val="134"/>
        <scheme val="minor"/>
      </rPr>
      <t>s,2</t>
    </r>
    <r>
      <rPr>
        <sz val="11"/>
        <color theme="1"/>
        <rFont val="宋体"/>
        <charset val="134"/>
        <scheme val="minor"/>
      </rPr>
      <t xml:space="preserve"> (K)</t>
    </r>
  </si>
  <si>
    <t>Tested case temperature (⁰C):</t>
  </si>
  <si>
    <r>
      <rPr>
        <sz val="11"/>
        <color theme="1"/>
        <rFont val="Calibri"/>
        <charset val="134"/>
      </rPr>
      <t>α</t>
    </r>
    <r>
      <rPr>
        <vertAlign val="subscript"/>
        <sz val="11"/>
        <color theme="1"/>
        <rFont val="Calibri"/>
        <charset val="134"/>
      </rPr>
      <t>2</t>
    </r>
  </si>
  <si>
    <t>α:</t>
  </si>
  <si>
    <t>B:</t>
  </si>
  <si>
    <r>
      <rPr>
        <sz val="11"/>
        <color theme="1"/>
        <rFont val="宋体"/>
        <charset val="134"/>
        <scheme val="minor"/>
      </rPr>
      <t>T</t>
    </r>
    <r>
      <rPr>
        <vertAlign val="subscript"/>
        <sz val="11"/>
        <color theme="1"/>
        <rFont val="宋体"/>
        <charset val="134"/>
        <scheme val="minor"/>
      </rPr>
      <t>s,i</t>
    </r>
    <r>
      <rPr>
        <sz val="11"/>
        <color theme="1"/>
        <rFont val="宋体"/>
        <charset val="134"/>
        <scheme val="minor"/>
      </rPr>
      <t xml:space="preserve"> (</t>
    </r>
    <r>
      <rPr>
        <sz val="11"/>
        <color theme="1"/>
        <rFont val="Calibri"/>
        <charset val="134"/>
      </rPr>
      <t>⁰C</t>
    </r>
    <r>
      <rPr>
        <sz val="11"/>
        <color theme="1"/>
        <rFont val="宋体"/>
        <charset val="134"/>
        <scheme val="minor"/>
      </rPr>
      <t>)</t>
    </r>
  </si>
  <si>
    <r>
      <rPr>
        <sz val="11"/>
        <color theme="1"/>
        <rFont val="宋体"/>
        <charset val="134"/>
        <scheme val="minor"/>
      </rPr>
      <t>T</t>
    </r>
    <r>
      <rPr>
        <vertAlign val="subscript"/>
        <sz val="11"/>
        <color theme="1"/>
        <rFont val="宋体"/>
        <charset val="134"/>
        <scheme val="minor"/>
      </rPr>
      <t>s,i</t>
    </r>
    <r>
      <rPr>
        <sz val="11"/>
        <color theme="1"/>
        <rFont val="宋体"/>
        <charset val="134"/>
        <scheme val="minor"/>
      </rPr>
      <t xml:space="preserve"> (K)</t>
    </r>
  </si>
  <si>
    <t>TM-21 Report</t>
  </si>
  <si>
    <t>Table 2: Interpolation Report</t>
  </si>
  <si>
    <t>Description of LED Light Source Tested (manufacturer, model, 
catalog number)</t>
  </si>
  <si>
    <r>
      <rPr>
        <b/>
        <sz val="11"/>
        <color theme="0"/>
        <rFont val="Arial"/>
        <charset val="134"/>
      </rPr>
      <t xml:space="preserve">(projection based on </t>
    </r>
    <r>
      <rPr>
        <b/>
        <i/>
        <sz val="11"/>
        <color theme="0"/>
        <rFont val="Arial"/>
        <charset val="134"/>
      </rPr>
      <t>in-situ</t>
    </r>
    <r>
      <rPr>
        <b/>
        <sz val="11"/>
        <color theme="0"/>
        <rFont val="Arial"/>
        <charset val="134"/>
      </rPr>
      <t xml:space="preserve"> temperature entered)</t>
    </r>
  </si>
  <si>
    <r>
      <rPr>
        <sz val="11"/>
        <color theme="1"/>
        <rFont val="Arial"/>
        <charset val="134"/>
      </rPr>
      <t>T</t>
    </r>
    <r>
      <rPr>
        <vertAlign val="subscript"/>
        <sz val="11"/>
        <color theme="1"/>
        <rFont val="Arial"/>
        <charset val="134"/>
      </rPr>
      <t>s,1</t>
    </r>
    <r>
      <rPr>
        <sz val="11"/>
        <color theme="1"/>
        <rFont val="Arial"/>
        <charset val="134"/>
      </rPr>
      <t xml:space="preserve"> (⁰C)</t>
    </r>
  </si>
  <si>
    <r>
      <rPr>
        <sz val="11"/>
        <color theme="1"/>
        <rFont val="Arial"/>
        <charset val="134"/>
      </rPr>
      <t>T</t>
    </r>
    <r>
      <rPr>
        <vertAlign val="subscript"/>
        <sz val="11"/>
        <color theme="1"/>
        <rFont val="Arial"/>
        <charset val="134"/>
      </rPr>
      <t>s,1</t>
    </r>
    <r>
      <rPr>
        <sz val="11"/>
        <color theme="1"/>
        <rFont val="Arial"/>
        <charset val="134"/>
      </rPr>
      <t xml:space="preserve"> (K)</t>
    </r>
  </si>
  <si>
    <r>
      <rPr>
        <sz val="11"/>
        <color theme="1"/>
        <rFont val="Arial"/>
        <charset val="134"/>
      </rPr>
      <t>α</t>
    </r>
    <r>
      <rPr>
        <vertAlign val="subscript"/>
        <sz val="11"/>
        <color theme="1"/>
        <rFont val="Arial"/>
        <charset val="134"/>
      </rPr>
      <t>1</t>
    </r>
  </si>
  <si>
    <t>Sample size</t>
  </si>
  <si>
    <r>
      <rPr>
        <sz val="11"/>
        <color theme="1"/>
        <rFont val="Arial"/>
        <charset val="134"/>
      </rPr>
      <t>B</t>
    </r>
    <r>
      <rPr>
        <vertAlign val="subscript"/>
        <sz val="11"/>
        <color theme="1"/>
        <rFont val="Arial"/>
        <charset val="134"/>
      </rPr>
      <t>1</t>
    </r>
  </si>
  <si>
    <t>Number of failures</t>
  </si>
  <si>
    <r>
      <rPr>
        <sz val="11"/>
        <color theme="1"/>
        <rFont val="Arial"/>
        <charset val="134"/>
      </rPr>
      <t>T</t>
    </r>
    <r>
      <rPr>
        <vertAlign val="subscript"/>
        <sz val="11"/>
        <color theme="1"/>
        <rFont val="Arial"/>
        <charset val="134"/>
      </rPr>
      <t>s,2</t>
    </r>
    <r>
      <rPr>
        <sz val="11"/>
        <color theme="1"/>
        <rFont val="Arial"/>
        <charset val="134"/>
      </rPr>
      <t xml:space="preserve"> (⁰C)</t>
    </r>
  </si>
  <si>
    <t>DUT drive current used in the test (mA)</t>
  </si>
  <si>
    <r>
      <rPr>
        <sz val="11"/>
        <color theme="1"/>
        <rFont val="Arial"/>
        <charset val="134"/>
      </rPr>
      <t>T</t>
    </r>
    <r>
      <rPr>
        <vertAlign val="subscript"/>
        <sz val="11"/>
        <color theme="1"/>
        <rFont val="Arial"/>
        <charset val="134"/>
      </rPr>
      <t>s,2</t>
    </r>
    <r>
      <rPr>
        <sz val="11"/>
        <color theme="1"/>
        <rFont val="Arial"/>
        <charset val="134"/>
      </rPr>
      <t xml:space="preserve"> (K)</t>
    </r>
  </si>
  <si>
    <t>Test duration (hours)</t>
  </si>
  <si>
    <r>
      <rPr>
        <sz val="11"/>
        <color theme="1"/>
        <rFont val="Arial"/>
        <charset val="134"/>
      </rPr>
      <t>α</t>
    </r>
    <r>
      <rPr>
        <vertAlign val="subscript"/>
        <sz val="11"/>
        <color theme="1"/>
        <rFont val="Arial"/>
        <charset val="134"/>
      </rPr>
      <t>2</t>
    </r>
  </si>
  <si>
    <t>Test duration used for projection (hour to hour)</t>
  </si>
  <si>
    <r>
      <rPr>
        <sz val="11"/>
        <color theme="1"/>
        <rFont val="Arial"/>
        <charset val="134"/>
      </rPr>
      <t>B</t>
    </r>
    <r>
      <rPr>
        <vertAlign val="subscript"/>
        <sz val="11"/>
        <color theme="1"/>
        <rFont val="Arial"/>
        <charset val="134"/>
      </rPr>
      <t>2</t>
    </r>
  </si>
  <si>
    <t>Tested case temperature (⁰C)</t>
  </si>
  <si>
    <r>
      <rPr>
        <sz val="11"/>
        <color theme="1"/>
        <rFont val="Arial"/>
        <charset val="134"/>
      </rPr>
      <t>E</t>
    </r>
    <r>
      <rPr>
        <vertAlign val="subscript"/>
        <sz val="11"/>
        <color theme="1"/>
        <rFont val="Arial"/>
        <charset val="134"/>
      </rPr>
      <t>a</t>
    </r>
    <r>
      <rPr>
        <sz val="11"/>
        <color theme="1"/>
        <rFont val="Arial"/>
        <charset val="134"/>
      </rPr>
      <t>/k</t>
    </r>
    <r>
      <rPr>
        <vertAlign val="subscript"/>
        <sz val="11"/>
        <color theme="1"/>
        <rFont val="Arial"/>
        <charset val="134"/>
      </rPr>
      <t>b</t>
    </r>
  </si>
  <si>
    <t>α</t>
  </si>
  <si>
    <t>B</t>
  </si>
  <si>
    <r>
      <rPr>
        <sz val="11"/>
        <color theme="1"/>
        <rFont val="Arial"/>
        <charset val="134"/>
      </rPr>
      <t>B</t>
    </r>
    <r>
      <rPr>
        <vertAlign val="subscript"/>
        <sz val="11"/>
        <color theme="1"/>
        <rFont val="Arial"/>
        <charset val="134"/>
      </rPr>
      <t>0</t>
    </r>
  </si>
  <si>
    <r>
      <rPr>
        <sz val="11"/>
        <color theme="1"/>
        <rFont val="Arial"/>
        <charset val="134"/>
      </rPr>
      <t>T</t>
    </r>
    <r>
      <rPr>
        <vertAlign val="subscript"/>
        <sz val="11"/>
        <color theme="1"/>
        <rFont val="Arial"/>
        <charset val="134"/>
      </rPr>
      <t>s,i</t>
    </r>
    <r>
      <rPr>
        <sz val="11"/>
        <color theme="1"/>
        <rFont val="Arial"/>
        <charset val="134"/>
      </rPr>
      <t xml:space="preserve"> (⁰C)</t>
    </r>
  </si>
  <si>
    <r>
      <rPr>
        <sz val="11"/>
        <color theme="1"/>
        <rFont val="Arial"/>
        <charset val="134"/>
      </rPr>
      <t>T</t>
    </r>
    <r>
      <rPr>
        <vertAlign val="subscript"/>
        <sz val="11"/>
        <color theme="1"/>
        <rFont val="Arial"/>
        <charset val="134"/>
      </rPr>
      <t>s,i</t>
    </r>
    <r>
      <rPr>
        <sz val="11"/>
        <color theme="1"/>
        <rFont val="Arial"/>
        <charset val="134"/>
      </rPr>
      <t xml:space="preserve"> (K)</t>
    </r>
  </si>
  <si>
    <r>
      <rPr>
        <sz val="11"/>
        <color theme="1"/>
        <rFont val="Arial"/>
        <charset val="134"/>
      </rPr>
      <t>α</t>
    </r>
    <r>
      <rPr>
        <vertAlign val="subscript"/>
        <sz val="11"/>
        <color theme="1"/>
        <rFont val="Arial"/>
        <charset val="134"/>
      </rPr>
      <t>i</t>
    </r>
  </si>
  <si>
    <t xml:space="preserve">Report Generated By: </t>
  </si>
  <si>
    <t xml:space="preserve">Notes: </t>
  </si>
  <si>
    <t xml:space="preserve">Company: </t>
  </si>
  <si>
    <t xml:space="preserve">Date: </t>
  </si>
  <si>
    <t>Meas.</t>
  </si>
  <si>
    <t>Time (hrs) = x</t>
  </si>
  <si>
    <t>Average Normalized Lumen Maintenance = y</t>
  </si>
  <si>
    <t>ln(y)</t>
  </si>
  <si>
    <t>xy</t>
  </si>
  <si>
    <r>
      <rPr>
        <sz val="11"/>
        <color theme="1"/>
        <rFont val="宋体"/>
        <charset val="134"/>
        <scheme val="minor"/>
      </rPr>
      <t>x</t>
    </r>
    <r>
      <rPr>
        <vertAlign val="superscript"/>
        <sz val="11"/>
        <color theme="1"/>
        <rFont val="宋体"/>
        <charset val="134"/>
        <scheme val="minor"/>
      </rPr>
      <t>2</t>
    </r>
  </si>
  <si>
    <t>xlny</t>
  </si>
  <si>
    <t>Sums</t>
  </si>
  <si>
    <t>Slope:</t>
  </si>
  <si>
    <t>Intercept:</t>
  </si>
</sst>
</file>

<file path=xl/styles.xml><?xml version="1.0" encoding="utf-8"?>
<styleSheet xmlns="http://schemas.openxmlformats.org/spreadsheetml/2006/main">
  <numFmts count="11">
    <numFmt numFmtId="176" formatCode="0.000E+00"/>
    <numFmt numFmtId="44" formatCode="_ &quot;￥&quot;* #,##0.00_ ;_ &quot;￥&quot;* \-#,##0.00_ ;_ &quot;￥&quot;* &quot;-&quot;??_ ;_ @_ "/>
    <numFmt numFmtId="42" formatCode="_ &quot;￥&quot;* #,##0_ ;_ &quot;￥&quot;* \-#,##0_ ;_ &quot;￥&quot;* &quot;-&quot;_ ;_ @_ "/>
    <numFmt numFmtId="41" formatCode="_ * #,##0_ ;_ * \-#,##0_ ;_ * &quot;-&quot;_ ;_ @_ "/>
    <numFmt numFmtId="177" formatCode="_(* #,##0.00_);_(* \(#,##0.00\);_(* &quot;-&quot;??_);_(@_)"/>
    <numFmt numFmtId="178" formatCode="0.00000"/>
    <numFmt numFmtId="179" formatCode="_(* #,##0_);_(* \(#,##0\);_(* &quot;-&quot;??_);_(@_)"/>
    <numFmt numFmtId="180" formatCode="0.000"/>
    <numFmt numFmtId="181" formatCode="0.00000E+00"/>
    <numFmt numFmtId="182" formatCode="0.0000E+00"/>
    <numFmt numFmtId="183" formatCode="0.0000"/>
  </numFmts>
  <fonts count="60">
    <font>
      <sz val="11"/>
      <color theme="1"/>
      <name val="宋体"/>
      <charset val="134"/>
      <scheme val="minor"/>
    </font>
    <font>
      <sz val="12"/>
      <color theme="0"/>
      <name val="宋体"/>
      <charset val="134"/>
      <scheme val="minor"/>
    </font>
    <font>
      <sz val="11"/>
      <color theme="1"/>
      <name val="Calibri"/>
      <charset val="134"/>
    </font>
    <font>
      <sz val="11"/>
      <color theme="1"/>
      <name val="Arial"/>
      <charset val="134"/>
    </font>
    <font>
      <b/>
      <sz val="22"/>
      <color theme="1"/>
      <name val="Arial"/>
      <charset val="134"/>
    </font>
    <font>
      <b/>
      <sz val="11"/>
      <color theme="0"/>
      <name val="Arial"/>
      <charset val="134"/>
    </font>
    <font>
      <b/>
      <sz val="11"/>
      <name val="Arial"/>
      <charset val="134"/>
    </font>
    <font>
      <sz val="11"/>
      <name val="Arial"/>
      <charset val="134"/>
    </font>
    <font>
      <b/>
      <sz val="11"/>
      <color theme="1"/>
      <name val="Arial"/>
      <charset val="134"/>
    </font>
    <font>
      <sz val="11"/>
      <color rgb="FFFF0000"/>
      <name val="Arial"/>
      <charset val="134"/>
    </font>
    <font>
      <sz val="8"/>
      <color theme="1"/>
      <name val="Arial"/>
      <charset val="134"/>
    </font>
    <font>
      <b/>
      <sz val="11"/>
      <color theme="1"/>
      <name val="宋体"/>
      <charset val="134"/>
      <scheme val="minor"/>
    </font>
    <font>
      <sz val="11"/>
      <color theme="0" tint="-0.249977111117893"/>
      <name val="宋体"/>
      <charset val="134"/>
      <scheme val="minor"/>
    </font>
    <font>
      <sz val="11"/>
      <color theme="0"/>
      <name val="宋体"/>
      <charset val="134"/>
      <scheme val="minor"/>
    </font>
    <font>
      <b/>
      <sz val="28"/>
      <color theme="1"/>
      <name val="Arial"/>
      <charset val="134"/>
    </font>
    <font>
      <sz val="14"/>
      <color theme="1"/>
      <name val="Arial"/>
      <charset val="134"/>
    </font>
    <font>
      <sz val="16"/>
      <color theme="1"/>
      <name val="Arial"/>
      <charset val="134"/>
    </font>
    <font>
      <b/>
      <sz val="20"/>
      <color theme="1"/>
      <name val="Arial"/>
      <charset val="134"/>
    </font>
    <font>
      <b/>
      <sz val="20"/>
      <color theme="1"/>
      <name val="宋体"/>
      <charset val="134"/>
      <scheme val="minor"/>
    </font>
    <font>
      <sz val="14"/>
      <color theme="0"/>
      <name val="Arial"/>
      <charset val="134"/>
    </font>
    <font>
      <sz val="14"/>
      <color theme="1"/>
      <name val="宋体"/>
      <charset val="134"/>
      <scheme val="minor"/>
    </font>
    <font>
      <sz val="14"/>
      <color rgb="FFFF0000"/>
      <name val="Arial"/>
      <charset val="134"/>
    </font>
    <font>
      <sz val="12"/>
      <color theme="1"/>
      <name val="Arial"/>
      <charset val="134"/>
    </font>
    <font>
      <b/>
      <sz val="14"/>
      <color theme="1"/>
      <name val="Arial"/>
      <charset val="134"/>
    </font>
    <font>
      <sz val="12"/>
      <color rgb="FFFF0000"/>
      <name val="Arial"/>
      <charset val="134"/>
    </font>
    <font>
      <b/>
      <u/>
      <sz val="18"/>
      <name val="Arial"/>
      <charset val="134"/>
    </font>
    <font>
      <sz val="11"/>
      <color rgb="FFFF0000"/>
      <name val="宋体"/>
      <charset val="0"/>
      <scheme val="minor"/>
    </font>
    <font>
      <b/>
      <sz val="11"/>
      <color theme="3"/>
      <name val="宋体"/>
      <charset val="134"/>
      <scheme val="minor"/>
    </font>
    <font>
      <sz val="11"/>
      <color theme="1"/>
      <name val="宋体"/>
      <charset val="134"/>
      <scheme val="minor"/>
    </font>
    <font>
      <sz val="11"/>
      <color rgb="FFFA7D00"/>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3"/>
      <color theme="3"/>
      <name val="宋体"/>
      <charset val="134"/>
      <scheme val="minor"/>
    </font>
    <font>
      <b/>
      <sz val="15"/>
      <color theme="3"/>
      <name val="宋体"/>
      <charset val="134"/>
      <scheme val="minor"/>
    </font>
    <font>
      <b/>
      <sz val="11"/>
      <color rgb="FFFFFFF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vertAlign val="superscript"/>
      <sz val="11"/>
      <color theme="1"/>
      <name val="宋体"/>
      <charset val="134"/>
      <scheme val="minor"/>
    </font>
    <font>
      <b/>
      <i/>
      <sz val="11"/>
      <color theme="0"/>
      <name val="Arial"/>
      <charset val="134"/>
    </font>
    <font>
      <vertAlign val="subscript"/>
      <sz val="11"/>
      <color theme="1"/>
      <name val="Arial"/>
      <charset val="134"/>
    </font>
    <font>
      <vertAlign val="subscript"/>
      <sz val="11"/>
      <color theme="1"/>
      <name val="宋体"/>
      <charset val="134"/>
      <scheme val="minor"/>
    </font>
    <font>
      <vertAlign val="subscript"/>
      <sz val="11"/>
      <color theme="1"/>
      <name val="Calibri"/>
      <charset val="134"/>
    </font>
    <font>
      <vertAlign val="subscript"/>
      <sz val="9.35"/>
      <color theme="1"/>
      <name val="Calibri"/>
      <charset val="134"/>
    </font>
    <font>
      <i/>
      <sz val="14"/>
      <color theme="1"/>
      <name val="Arial"/>
      <charset val="134"/>
    </font>
    <font>
      <vertAlign val="subscript"/>
      <sz val="14"/>
      <color theme="1"/>
      <name val="Arial"/>
      <charset val="134"/>
    </font>
    <font>
      <b/>
      <i/>
      <sz val="20"/>
      <color theme="1"/>
      <name val="Arial"/>
      <charset val="134"/>
    </font>
    <font>
      <b/>
      <sz val="18"/>
      <name val="Arial"/>
      <charset val="134"/>
    </font>
    <font>
      <b/>
      <vertAlign val="superscript"/>
      <sz val="18"/>
      <name val="Arial"/>
      <charset val="134"/>
    </font>
    <font>
      <b/>
      <sz val="12"/>
      <color theme="1"/>
      <name val="Arial"/>
      <charset val="134"/>
    </font>
    <font>
      <sz val="10"/>
      <color theme="1"/>
      <name val="Arial"/>
      <charset val="134"/>
    </font>
    <font>
      <i/>
      <sz val="12"/>
      <color theme="1"/>
      <name val="Arial"/>
      <charset val="134"/>
    </font>
  </fonts>
  <fills count="4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6795556505"/>
        <bgColor indexed="64"/>
      </patternFill>
    </fill>
    <fill>
      <patternFill patternType="solid">
        <fgColor theme="0" tint="-0.249946592608417"/>
        <bgColor indexed="64"/>
      </patternFill>
    </fill>
    <fill>
      <patternFill patternType="solid">
        <fgColor theme="0"/>
        <bgColor theme="0"/>
      </patternFill>
    </fill>
    <fill>
      <patternFill patternType="solid">
        <fgColor indexed="65"/>
        <bgColor theme="0"/>
      </patternFill>
    </fill>
    <fill>
      <patternFill patternType="solid">
        <fgColor rgb="FFFFFF00"/>
        <bgColor indexed="64"/>
      </patternFill>
    </fill>
    <fill>
      <patternFill patternType="solid">
        <fgColor theme="0" tint="-0.149998474074526"/>
        <bgColor indexed="64"/>
      </patternFill>
    </fill>
    <fill>
      <patternFill patternType="solid">
        <fgColor rgb="FF00B7EB"/>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6"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4" tint="0.799981688894314"/>
        <bgColor indexed="64"/>
      </patternFill>
    </fill>
    <fill>
      <patternFill patternType="solid">
        <fgColor theme="4" tint="0.599993896298105"/>
        <bgColor indexed="64"/>
      </patternFill>
    </fill>
  </fills>
  <borders count="100">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medium">
        <color auto="1"/>
      </left>
      <right style="thin">
        <color auto="1"/>
      </right>
      <top style="thin">
        <color auto="1"/>
      </top>
      <bottom style="dashed">
        <color theme="0" tint="-0.349986266670736"/>
      </bottom>
      <diagonal/>
    </border>
    <border>
      <left/>
      <right style="dashed">
        <color auto="1"/>
      </right>
      <top style="thin">
        <color auto="1"/>
      </top>
      <bottom style="dashed">
        <color theme="0" tint="-0.349986266670736"/>
      </bottom>
      <diagonal/>
    </border>
    <border>
      <left style="dashed">
        <color auto="1"/>
      </left>
      <right style="dashed">
        <color auto="1"/>
      </right>
      <top style="thin">
        <color auto="1"/>
      </top>
      <bottom style="dashed">
        <color theme="0" tint="-0.349986266670736"/>
      </bottom>
      <diagonal/>
    </border>
    <border>
      <left style="medium">
        <color auto="1"/>
      </left>
      <right style="thin">
        <color auto="1"/>
      </right>
      <top style="dashed">
        <color theme="0" tint="-0.349986266670736"/>
      </top>
      <bottom style="dashed">
        <color theme="0" tint="-0.349986266670736"/>
      </bottom>
      <diagonal/>
    </border>
    <border>
      <left/>
      <right style="dashed">
        <color auto="1"/>
      </right>
      <top style="dashed">
        <color theme="0" tint="-0.349986266670736"/>
      </top>
      <bottom style="dashed">
        <color theme="0" tint="-0.349986266670736"/>
      </bottom>
      <diagonal/>
    </border>
    <border>
      <left style="dashed">
        <color auto="1"/>
      </left>
      <right style="dashed">
        <color auto="1"/>
      </right>
      <top style="dashed">
        <color theme="0" tint="-0.349986266670736"/>
      </top>
      <bottom style="dashed">
        <color theme="0" tint="-0.349986266670736"/>
      </bottom>
      <diagonal/>
    </border>
    <border>
      <left style="medium">
        <color auto="1"/>
      </left>
      <right style="thin">
        <color auto="1"/>
      </right>
      <top style="dashed">
        <color theme="0" tint="-0.349986266670736"/>
      </top>
      <bottom style="thin">
        <color auto="1"/>
      </bottom>
      <diagonal/>
    </border>
    <border>
      <left/>
      <right style="dashed">
        <color auto="1"/>
      </right>
      <top style="dashed">
        <color theme="0" tint="-0.349986266670736"/>
      </top>
      <bottom style="thin">
        <color auto="1"/>
      </bottom>
      <diagonal/>
    </border>
    <border>
      <left style="dashed">
        <color auto="1"/>
      </left>
      <right style="dashed">
        <color auto="1"/>
      </right>
      <top style="dashed">
        <color theme="0" tint="-0.349986266670736"/>
      </top>
      <bottom style="thin">
        <color auto="1"/>
      </bottom>
      <diagonal/>
    </border>
    <border>
      <left style="medium">
        <color auto="1"/>
      </left>
      <right style="thin">
        <color auto="1"/>
      </right>
      <top style="thin">
        <color auto="1"/>
      </top>
      <bottom style="medium">
        <color auto="1"/>
      </bottom>
      <diagonal/>
    </border>
    <border>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bottom style="dashed">
        <color theme="0" tint="-0.349986266670736"/>
      </bottom>
      <diagonal/>
    </border>
    <border>
      <left/>
      <right style="medium">
        <color auto="1"/>
      </right>
      <top style="dashed">
        <color theme="0" tint="-0.349986266670736"/>
      </top>
      <bottom style="dashed">
        <color theme="0" tint="-0.349986266670736"/>
      </bottom>
      <diagonal/>
    </border>
    <border>
      <left style="medium">
        <color auto="1"/>
      </left>
      <right style="thin">
        <color auto="1"/>
      </right>
      <top style="dashed">
        <color theme="0" tint="-0.349986266670736"/>
      </top>
      <bottom style="medium">
        <color auto="1"/>
      </bottom>
      <diagonal/>
    </border>
    <border>
      <left/>
      <right style="medium">
        <color auto="1"/>
      </right>
      <top style="dashed">
        <color theme="0" tint="-0.349986266670736"/>
      </top>
      <bottom style="medium">
        <color auto="1"/>
      </bottom>
      <diagonal/>
    </border>
    <border>
      <left style="dashed">
        <color auto="1"/>
      </left>
      <right style="medium">
        <color auto="1"/>
      </right>
      <top style="thin">
        <color auto="1"/>
      </top>
      <bottom style="thin">
        <color auto="1"/>
      </bottom>
      <diagonal/>
    </border>
    <border>
      <left style="dashed">
        <color auto="1"/>
      </left>
      <right style="medium">
        <color auto="1"/>
      </right>
      <top style="thin">
        <color auto="1"/>
      </top>
      <bottom style="dashed">
        <color theme="0" tint="-0.349986266670736"/>
      </bottom>
      <diagonal/>
    </border>
    <border>
      <left style="dashed">
        <color auto="1"/>
      </left>
      <right style="medium">
        <color auto="1"/>
      </right>
      <top style="dashed">
        <color theme="0" tint="-0.349986266670736"/>
      </top>
      <bottom style="dashed">
        <color theme="0" tint="-0.349986266670736"/>
      </bottom>
      <diagonal/>
    </border>
    <border>
      <left style="dashed">
        <color auto="1"/>
      </left>
      <right style="medium">
        <color auto="1"/>
      </right>
      <top style="dashed">
        <color theme="0" tint="-0.349986266670736"/>
      </top>
      <bottom style="thin">
        <color auto="1"/>
      </bottom>
      <diagonal/>
    </border>
    <border>
      <left style="dashed">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dashed">
        <color auto="1"/>
      </right>
      <top/>
      <bottom style="dashed">
        <color theme="0" tint="-0.249946592608417"/>
      </bottom>
      <diagonal/>
    </border>
    <border>
      <left style="dashed">
        <color auto="1"/>
      </left>
      <right style="medium">
        <color auto="1"/>
      </right>
      <top/>
      <bottom style="dashed">
        <color theme="0" tint="-0.249946592608417"/>
      </bottom>
      <diagonal/>
    </border>
    <border>
      <left style="dashed">
        <color auto="1"/>
      </left>
      <right style="medium">
        <color auto="1"/>
      </right>
      <top style="dashed">
        <color theme="0" tint="-0.249946592608417"/>
      </top>
      <bottom style="dashed">
        <color theme="0" tint="-0.249946592608417"/>
      </bottom>
      <diagonal/>
    </border>
    <border>
      <left style="medium">
        <color auto="1"/>
      </left>
      <right style="dashed">
        <color auto="1"/>
      </right>
      <top style="dashed">
        <color theme="0" tint="-0.249946592608417"/>
      </top>
      <bottom/>
      <diagonal/>
    </border>
    <border>
      <left style="dashed">
        <color auto="1"/>
      </left>
      <right style="medium">
        <color auto="1"/>
      </right>
      <top style="dashed">
        <color theme="0" tint="-0.249946592608417"/>
      </top>
      <bottom/>
      <diagonal/>
    </border>
    <border>
      <left style="medium">
        <color auto="1"/>
      </left>
      <right style="dashed">
        <color auto="1"/>
      </right>
      <top style="medium">
        <color auto="1"/>
      </top>
      <bottom style="dashed">
        <color theme="0" tint="-0.249946592608417"/>
      </bottom>
      <diagonal/>
    </border>
    <border>
      <left style="dashed">
        <color auto="1"/>
      </left>
      <right style="medium">
        <color auto="1"/>
      </right>
      <top style="medium">
        <color auto="1"/>
      </top>
      <bottom style="dashed">
        <color theme="0" tint="-0.249946592608417"/>
      </bottom>
      <diagonal/>
    </border>
    <border>
      <left style="medium">
        <color auto="1"/>
      </left>
      <right style="dashed">
        <color auto="1"/>
      </right>
      <top style="dashed">
        <color theme="0" tint="-0.249946592608417"/>
      </top>
      <bottom style="medium">
        <color auto="1"/>
      </bottom>
      <diagonal/>
    </border>
    <border>
      <left style="dashed">
        <color auto="1"/>
      </left>
      <right style="medium">
        <color auto="1"/>
      </right>
      <top style="dashed">
        <color theme="0" tint="-0.249946592608417"/>
      </top>
      <bottom style="medium">
        <color auto="1"/>
      </bottom>
      <diagonal/>
    </border>
    <border>
      <left/>
      <right/>
      <top style="medium">
        <color auto="1"/>
      </top>
      <bottom style="medium">
        <color auto="1"/>
      </bottom>
      <diagonal/>
    </border>
    <border>
      <left style="medium">
        <color auto="1"/>
      </left>
      <right style="thin">
        <color auto="1"/>
      </right>
      <top/>
      <bottom style="dashed">
        <color theme="0" tint="-0.249946592608417"/>
      </bottom>
      <diagonal/>
    </border>
    <border>
      <left style="thin">
        <color auto="1"/>
      </left>
      <right style="medium">
        <color auto="1"/>
      </right>
      <top/>
      <bottom style="dashed">
        <color theme="0" tint="-0.249946592608417"/>
      </bottom>
      <diagonal/>
    </border>
    <border>
      <left style="medium">
        <color auto="1"/>
      </left>
      <right style="thin">
        <color auto="1"/>
      </right>
      <top style="dashed">
        <color theme="0" tint="-0.249946592608417"/>
      </top>
      <bottom style="dashed">
        <color theme="0" tint="-0.249946592608417"/>
      </bottom>
      <diagonal/>
    </border>
    <border>
      <left style="thin">
        <color auto="1"/>
      </left>
      <right style="medium">
        <color auto="1"/>
      </right>
      <top style="dashed">
        <color theme="0" tint="-0.249946592608417"/>
      </top>
      <bottom style="dashed">
        <color theme="0" tint="-0.249946592608417"/>
      </bottom>
      <diagonal/>
    </border>
    <border>
      <left style="medium">
        <color auto="1"/>
      </left>
      <right style="thin">
        <color auto="1"/>
      </right>
      <top style="dashed">
        <color theme="0" tint="-0.249946592608417"/>
      </top>
      <bottom/>
      <diagonal/>
    </border>
    <border>
      <left style="thin">
        <color auto="1"/>
      </left>
      <right style="medium">
        <color auto="1"/>
      </right>
      <top style="dashed">
        <color theme="0" tint="-0.249946592608417"/>
      </top>
      <bottom/>
      <diagonal/>
    </border>
    <border>
      <left style="medium">
        <color auto="1"/>
      </left>
      <right style="thin">
        <color auto="1"/>
      </right>
      <top style="thin">
        <color auto="1"/>
      </top>
      <bottom style="dashed">
        <color theme="0" tint="-0.249946592608417"/>
      </bottom>
      <diagonal/>
    </border>
    <border>
      <left style="thin">
        <color auto="1"/>
      </left>
      <right style="medium">
        <color auto="1"/>
      </right>
      <top style="thin">
        <color auto="1"/>
      </top>
      <bottom style="dashed">
        <color theme="0" tint="-0.249946592608417"/>
      </bottom>
      <diagonal/>
    </border>
    <border>
      <left style="medium">
        <color auto="1"/>
      </left>
      <right style="thin">
        <color auto="1"/>
      </right>
      <top style="dashed">
        <color theme="0" tint="-0.249946592608417"/>
      </top>
      <bottom style="thin">
        <color auto="1"/>
      </bottom>
      <diagonal/>
    </border>
    <border>
      <left style="thin">
        <color auto="1"/>
      </left>
      <right style="medium">
        <color auto="1"/>
      </right>
      <top style="dashed">
        <color theme="0" tint="-0.249946592608417"/>
      </top>
      <bottom style="thin">
        <color auto="1"/>
      </bottom>
      <diagonal/>
    </border>
    <border>
      <left style="medium">
        <color auto="1"/>
      </left>
      <right style="thin">
        <color auto="1"/>
      </right>
      <top style="medium">
        <color auto="1"/>
      </top>
      <bottom style="dashed">
        <color theme="0" tint="-0.249946592608417"/>
      </bottom>
      <diagonal/>
    </border>
    <border>
      <left style="thin">
        <color auto="1"/>
      </left>
      <right style="medium">
        <color auto="1"/>
      </right>
      <top style="medium">
        <color auto="1"/>
      </top>
      <bottom style="dashed">
        <color theme="0" tint="-0.14996795556505"/>
      </bottom>
      <diagonal/>
    </border>
    <border>
      <left style="medium">
        <color auto="1"/>
      </left>
      <right style="thin">
        <color auto="1"/>
      </right>
      <top style="dashed">
        <color theme="0" tint="-0.249946592608417"/>
      </top>
      <bottom style="medium">
        <color auto="1"/>
      </bottom>
      <diagonal/>
    </border>
    <border>
      <left style="thin">
        <color auto="1"/>
      </left>
      <right style="medium">
        <color auto="1"/>
      </right>
      <top style="dashed">
        <color theme="0" tint="-0.14996795556505"/>
      </top>
      <bottom style="medium">
        <color auto="1"/>
      </bottom>
      <diagonal/>
    </border>
    <border>
      <left style="thin">
        <color auto="1"/>
      </left>
      <right style="medium">
        <color auto="1"/>
      </right>
      <top style="medium">
        <color auto="1"/>
      </top>
      <bottom style="dashed">
        <color theme="0" tint="-0.249946592608417"/>
      </bottom>
      <diagonal/>
    </border>
    <border>
      <left style="thin">
        <color auto="1"/>
      </left>
      <right style="medium">
        <color auto="1"/>
      </right>
      <top style="dashed">
        <color theme="0" tint="-0.249946592608417"/>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dashed">
        <color auto="1"/>
      </right>
      <top style="thin">
        <color auto="1"/>
      </top>
      <bottom style="dashed">
        <color theme="0" tint="-0.249946592608417"/>
      </bottom>
      <diagonal/>
    </border>
    <border>
      <left style="dashed">
        <color auto="1"/>
      </left>
      <right style="thin">
        <color auto="1"/>
      </right>
      <top style="thin">
        <color auto="1"/>
      </top>
      <bottom style="dashed">
        <color theme="0" tint="-0.249946592608417"/>
      </bottom>
      <diagonal/>
    </border>
    <border>
      <left style="thin">
        <color auto="1"/>
      </left>
      <right style="thin">
        <color auto="1"/>
      </right>
      <top/>
      <bottom/>
      <diagonal/>
    </border>
    <border>
      <left style="medium">
        <color auto="1"/>
      </left>
      <right style="dashed">
        <color auto="1"/>
      </right>
      <top style="dashed">
        <color theme="0" tint="-0.249946592608417"/>
      </top>
      <bottom style="dashed">
        <color theme="0" tint="-0.249946592608417"/>
      </bottom>
      <diagonal/>
    </border>
    <border>
      <left style="dashed">
        <color auto="1"/>
      </left>
      <right style="thin">
        <color auto="1"/>
      </right>
      <top style="dashed">
        <color theme="0" tint="-0.249946592608417"/>
      </top>
      <bottom style="dashed">
        <color theme="0" tint="-0.249946592608417"/>
      </bottom>
      <diagonal/>
    </border>
    <border>
      <left style="dashed">
        <color auto="1"/>
      </left>
      <right style="thin">
        <color auto="1"/>
      </right>
      <top style="dashed">
        <color theme="0" tint="-0.249946592608417"/>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dashed">
        <color auto="1"/>
      </right>
      <top style="thin">
        <color auto="1"/>
      </top>
      <bottom style="dashed">
        <color theme="0" tint="-0.249946592608417"/>
      </bottom>
      <diagonal/>
    </border>
    <border>
      <left style="dashed">
        <color auto="1"/>
      </left>
      <right style="medium">
        <color auto="1"/>
      </right>
      <top style="thin">
        <color auto="1"/>
      </top>
      <bottom style="dashed">
        <color theme="0" tint="-0.249946592608417"/>
      </bottom>
      <diagonal/>
    </border>
    <border>
      <left style="thin">
        <color auto="1"/>
      </left>
      <right style="dashed">
        <color auto="1"/>
      </right>
      <top style="dashed">
        <color theme="0" tint="-0.249946592608417"/>
      </top>
      <bottom style="dashed">
        <color theme="0" tint="-0.249946592608417"/>
      </bottom>
      <diagonal/>
    </border>
    <border>
      <left style="thin">
        <color auto="1"/>
      </left>
      <right style="dashed">
        <color auto="1"/>
      </right>
      <top style="dashed">
        <color theme="0" tint="-0.249946592608417"/>
      </top>
      <bottom style="medium">
        <color auto="1"/>
      </bottom>
      <diagonal/>
    </border>
    <border>
      <left style="medium">
        <color auto="1"/>
      </left>
      <right/>
      <top/>
      <bottom style="dashed">
        <color theme="0" tint="-0.249946592608417"/>
      </bottom>
      <diagonal/>
    </border>
    <border>
      <left style="medium">
        <color auto="1"/>
      </left>
      <right/>
      <top style="dashed">
        <color theme="0" tint="-0.249946592608417"/>
      </top>
      <bottom style="dashed">
        <color theme="0" tint="-0.249946592608417"/>
      </bottom>
      <diagonal/>
    </border>
    <border>
      <left style="medium">
        <color auto="1"/>
      </left>
      <right/>
      <top style="dashed">
        <color theme="0" tint="-0.249946592608417"/>
      </top>
      <bottom style="medium">
        <color auto="1"/>
      </bottom>
      <diagonal/>
    </border>
    <border>
      <left style="medium">
        <color auto="1"/>
      </left>
      <right/>
      <top style="medium">
        <color auto="1"/>
      </top>
      <bottom style="dashed">
        <color theme="0" tint="-0.249946592608417"/>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theme="0" tint="-0.249946592608417"/>
      </bottom>
      <diagonal/>
    </border>
    <border>
      <left/>
      <right style="medium">
        <color auto="1"/>
      </right>
      <top style="medium">
        <color auto="1"/>
      </top>
      <bottom style="dashed">
        <color theme="0" tint="-0.249946592608417"/>
      </bottom>
      <diagonal/>
    </border>
    <border>
      <left style="medium">
        <color auto="1"/>
      </left>
      <right style="medium">
        <color auto="1"/>
      </right>
      <top style="dashed">
        <color theme="0" tint="-0.249946592608417"/>
      </top>
      <bottom style="dashed">
        <color theme="0" tint="-0.249946592608417"/>
      </bottom>
      <diagonal/>
    </border>
    <border>
      <left/>
      <right style="medium">
        <color auto="1"/>
      </right>
      <top style="dashed">
        <color theme="0" tint="-0.249946592608417"/>
      </top>
      <bottom style="dashed">
        <color theme="0" tint="-0.249946592608417"/>
      </bottom>
      <diagonal/>
    </border>
    <border>
      <left style="medium">
        <color auto="1"/>
      </left>
      <right style="medium">
        <color auto="1"/>
      </right>
      <top/>
      <bottom style="dashed">
        <color theme="0" tint="-0.249946592608417"/>
      </bottom>
      <diagonal/>
    </border>
    <border>
      <left style="medium">
        <color auto="1"/>
      </left>
      <right style="medium">
        <color auto="1"/>
      </right>
      <top style="dashed">
        <color theme="0" tint="-0.249946592608417"/>
      </top>
      <bottom style="medium">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2" fontId="28" fillId="0" borderId="0" applyFont="0" applyFill="0" applyBorder="0" applyAlignment="0" applyProtection="0">
      <alignment vertical="center"/>
    </xf>
    <xf numFmtId="0" fontId="37" fillId="14" borderId="0" applyNumberFormat="0" applyBorder="0" applyAlignment="0" applyProtection="0">
      <alignment vertical="center"/>
    </xf>
    <xf numFmtId="0" fontId="36" fillId="12" borderId="93"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7" fillId="23" borderId="0" applyNumberFormat="0" applyBorder="0" applyAlignment="0" applyProtection="0">
      <alignment vertical="center"/>
    </xf>
    <xf numFmtId="0" fontId="39" fillId="19" borderId="0" applyNumberFormat="0" applyBorder="0" applyAlignment="0" applyProtection="0">
      <alignment vertical="center"/>
    </xf>
    <xf numFmtId="177" fontId="0" fillId="0" borderId="0" applyFont="0" applyFill="0" applyBorder="0" applyAlignment="0" applyProtection="0"/>
    <xf numFmtId="0" fontId="38" fillId="2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xf numFmtId="0" fontId="30" fillId="0" borderId="0" applyNumberFormat="0" applyFill="0" applyBorder="0" applyAlignment="0" applyProtection="0">
      <alignment vertical="center"/>
    </xf>
    <xf numFmtId="0" fontId="28" fillId="24" borderId="96" applyNumberFormat="0" applyFont="0" applyAlignment="0" applyProtection="0">
      <alignment vertical="center"/>
    </xf>
    <xf numFmtId="0" fontId="38" fillId="26" borderId="0" applyNumberFormat="0" applyBorder="0" applyAlignment="0" applyProtection="0">
      <alignment vertical="center"/>
    </xf>
    <xf numFmtId="0" fontId="2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97" applyNumberFormat="0" applyFill="0" applyAlignment="0" applyProtection="0">
      <alignment vertical="center"/>
    </xf>
    <xf numFmtId="0" fontId="40" fillId="0" borderId="97" applyNumberFormat="0" applyFill="0" applyAlignment="0" applyProtection="0">
      <alignment vertical="center"/>
    </xf>
    <xf numFmtId="0" fontId="38" fillId="29" borderId="0" applyNumberFormat="0" applyBorder="0" applyAlignment="0" applyProtection="0">
      <alignment vertical="center"/>
    </xf>
    <xf numFmtId="0" fontId="27" fillId="0" borderId="95" applyNumberFormat="0" applyFill="0" applyAlignment="0" applyProtection="0">
      <alignment vertical="center"/>
    </xf>
    <xf numFmtId="0" fontId="38" fillId="25" borderId="0" applyNumberFormat="0" applyBorder="0" applyAlignment="0" applyProtection="0">
      <alignment vertical="center"/>
    </xf>
    <xf numFmtId="0" fontId="33" fillId="11" borderId="94" applyNumberFormat="0" applyAlignment="0" applyProtection="0">
      <alignment vertical="center"/>
    </xf>
    <xf numFmtId="0" fontId="32" fillId="11" borderId="93" applyNumberFormat="0" applyAlignment="0" applyProtection="0">
      <alignment vertical="center"/>
    </xf>
    <xf numFmtId="0" fontId="42" fillId="30" borderId="98" applyNumberFormat="0" applyAlignment="0" applyProtection="0">
      <alignment vertical="center"/>
    </xf>
    <xf numFmtId="0" fontId="37" fillId="34" borderId="0" applyNumberFormat="0" applyBorder="0" applyAlignment="0" applyProtection="0">
      <alignment vertical="center"/>
    </xf>
    <xf numFmtId="0" fontId="38" fillId="37" borderId="0" applyNumberFormat="0" applyBorder="0" applyAlignment="0" applyProtection="0">
      <alignment vertical="center"/>
    </xf>
    <xf numFmtId="0" fontId="29" fillId="0" borderId="92" applyNumberFormat="0" applyFill="0" applyAlignment="0" applyProtection="0">
      <alignment vertical="center"/>
    </xf>
    <xf numFmtId="0" fontId="44" fillId="0" borderId="99" applyNumberFormat="0" applyFill="0" applyAlignment="0" applyProtection="0">
      <alignment vertical="center"/>
    </xf>
    <xf numFmtId="0" fontId="43" fillId="36" borderId="0" applyNumberFormat="0" applyBorder="0" applyAlignment="0" applyProtection="0">
      <alignment vertical="center"/>
    </xf>
    <xf numFmtId="0" fontId="45" fillId="38" borderId="0" applyNumberFormat="0" applyBorder="0" applyAlignment="0" applyProtection="0">
      <alignment vertical="center"/>
    </xf>
    <xf numFmtId="0" fontId="37" fillId="18" borderId="0" applyNumberFormat="0" applyBorder="0" applyAlignment="0" applyProtection="0">
      <alignment vertical="center"/>
    </xf>
    <xf numFmtId="0" fontId="38" fillId="22"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37" fillId="33" borderId="0" applyNumberFormat="0" applyBorder="0" applyAlignment="0" applyProtection="0">
      <alignment vertical="center"/>
    </xf>
    <xf numFmtId="0" fontId="37" fillId="32" borderId="0" applyNumberFormat="0" applyBorder="0" applyAlignment="0" applyProtection="0">
      <alignment vertical="center"/>
    </xf>
    <xf numFmtId="0" fontId="38" fillId="39" borderId="0" applyNumberFormat="0" applyBorder="0" applyAlignment="0" applyProtection="0">
      <alignment vertical="center"/>
    </xf>
    <xf numFmtId="0" fontId="38" fillId="21" borderId="0" applyNumberFormat="0" applyBorder="0" applyAlignment="0" applyProtection="0">
      <alignment vertical="center"/>
    </xf>
    <xf numFmtId="0" fontId="37" fillId="17" borderId="0" applyNumberFormat="0" applyBorder="0" applyAlignment="0" applyProtection="0">
      <alignment vertical="center"/>
    </xf>
    <xf numFmtId="0" fontId="37" fillId="16" borderId="0" applyNumberFormat="0" applyBorder="0" applyAlignment="0" applyProtection="0">
      <alignment vertical="center"/>
    </xf>
    <xf numFmtId="0" fontId="38" fillId="35" borderId="0" applyNumberFormat="0" applyBorder="0" applyAlignment="0" applyProtection="0">
      <alignment vertical="center"/>
    </xf>
    <xf numFmtId="0" fontId="37" fillId="31" borderId="0" applyNumberFormat="0" applyBorder="0" applyAlignment="0" applyProtection="0">
      <alignment vertical="center"/>
    </xf>
    <xf numFmtId="0" fontId="38" fillId="28" borderId="0" applyNumberFormat="0" applyBorder="0" applyAlignment="0" applyProtection="0">
      <alignment vertical="center"/>
    </xf>
    <xf numFmtId="0" fontId="38" fillId="20" borderId="0" applyNumberFormat="0" applyBorder="0" applyAlignment="0" applyProtection="0">
      <alignment vertical="center"/>
    </xf>
    <xf numFmtId="0" fontId="37" fillId="13" borderId="0" applyNumberFormat="0" applyBorder="0" applyAlignment="0" applyProtection="0">
      <alignment vertical="center"/>
    </xf>
    <xf numFmtId="0" fontId="38" fillId="15" borderId="0" applyNumberFormat="0" applyBorder="0" applyAlignment="0" applyProtection="0">
      <alignment vertical="center"/>
    </xf>
  </cellStyleXfs>
  <cellXfs count="300">
    <xf numFmtId="0" fontId="0" fillId="0" borderId="0" xfId="0"/>
    <xf numFmtId="0" fontId="0" fillId="2" borderId="0" xfId="0" applyFill="1"/>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wrapText="1"/>
    </xf>
    <xf numFmtId="0" fontId="0" fillId="4" borderId="5" xfId="0" applyFill="1" applyBorder="1" applyAlignment="1">
      <alignment horizontal="center" vertical="center" wrapText="1"/>
    </xf>
    <xf numFmtId="0" fontId="0" fillId="2" borderId="6" xfId="0" applyFill="1" applyBorder="1" applyAlignment="1">
      <alignment horizontal="center" vertical="center"/>
    </xf>
    <xf numFmtId="3" fontId="0" fillId="2" borderId="7" xfId="11" applyNumberFormat="1" applyFont="1" applyFill="1" applyBorder="1" applyAlignment="1">
      <alignment horizontal="center" vertical="center"/>
    </xf>
    <xf numFmtId="9" fontId="0" fillId="2" borderId="8" xfId="11" applyFont="1" applyFill="1" applyBorder="1" applyAlignment="1">
      <alignment horizontal="center" vertical="center"/>
    </xf>
    <xf numFmtId="178" fontId="0" fillId="2" borderId="8" xfId="8" applyNumberFormat="1" applyFont="1" applyFill="1" applyBorder="1" applyAlignment="1">
      <alignment horizontal="center" vertical="center"/>
    </xf>
    <xf numFmtId="4" fontId="0" fillId="2" borderId="8" xfId="11" applyNumberFormat="1" applyFont="1" applyFill="1" applyBorder="1" applyAlignment="1">
      <alignment horizontal="center" vertical="center"/>
    </xf>
    <xf numFmtId="0" fontId="0" fillId="2" borderId="9" xfId="0" applyFill="1" applyBorder="1" applyAlignment="1">
      <alignment horizontal="center" vertical="center"/>
    </xf>
    <xf numFmtId="3" fontId="0" fillId="2" borderId="10" xfId="11" applyNumberFormat="1" applyFont="1" applyFill="1" applyBorder="1" applyAlignment="1">
      <alignment horizontal="center" vertical="center"/>
    </xf>
    <xf numFmtId="9" fontId="0" fillId="2" borderId="11" xfId="11" applyFont="1" applyFill="1" applyBorder="1" applyAlignment="1">
      <alignment horizontal="center" vertical="center"/>
    </xf>
    <xf numFmtId="178" fontId="0" fillId="2" borderId="11" xfId="8" applyNumberFormat="1" applyFont="1" applyFill="1" applyBorder="1" applyAlignment="1">
      <alignment horizontal="center" vertical="center"/>
    </xf>
    <xf numFmtId="4" fontId="0" fillId="2" borderId="11" xfId="11" applyNumberFormat="1" applyFont="1" applyFill="1" applyBorder="1" applyAlignment="1">
      <alignment horizontal="center" vertical="center"/>
    </xf>
    <xf numFmtId="0" fontId="0" fillId="2" borderId="12" xfId="0" applyFill="1" applyBorder="1" applyAlignment="1">
      <alignment horizontal="center" vertical="center"/>
    </xf>
    <xf numFmtId="3" fontId="0" fillId="2" borderId="13" xfId="11" applyNumberFormat="1" applyFont="1" applyFill="1" applyBorder="1" applyAlignment="1">
      <alignment horizontal="center" vertical="center"/>
    </xf>
    <xf numFmtId="9" fontId="0" fillId="2" borderId="14" xfId="11" applyFont="1" applyFill="1" applyBorder="1" applyAlignment="1">
      <alignment horizontal="center" vertical="center"/>
    </xf>
    <xf numFmtId="178" fontId="0" fillId="2" borderId="14" xfId="8" applyNumberFormat="1" applyFont="1" applyFill="1" applyBorder="1" applyAlignment="1">
      <alignment horizontal="center" vertical="center"/>
    </xf>
    <xf numFmtId="4" fontId="0" fillId="2" borderId="14" xfId="11" applyNumberFormat="1" applyFont="1" applyFill="1" applyBorder="1" applyAlignment="1">
      <alignment horizontal="center" vertical="center"/>
    </xf>
    <xf numFmtId="0" fontId="0" fillId="2" borderId="15" xfId="0" applyFill="1" applyBorder="1" applyAlignment="1">
      <alignment horizontal="center" vertical="center"/>
    </xf>
    <xf numFmtId="3" fontId="0" fillId="2" borderId="16" xfId="0" applyNumberFormat="1" applyFill="1" applyBorder="1" applyAlignment="1">
      <alignment horizontal="center" vertical="center"/>
    </xf>
    <xf numFmtId="9" fontId="0" fillId="2" borderId="17" xfId="0" applyNumberFormat="1" applyFill="1" applyBorder="1" applyAlignment="1">
      <alignment horizontal="center" vertical="center"/>
    </xf>
    <xf numFmtId="178" fontId="0" fillId="2" borderId="17" xfId="0" applyNumberFormat="1" applyFill="1" applyBorder="1" applyAlignment="1">
      <alignment horizontal="center" vertical="center"/>
    </xf>
    <xf numFmtId="4" fontId="0" fillId="2" borderId="17" xfId="0" applyNumberFormat="1" applyFill="1" applyBorder="1" applyAlignment="1">
      <alignment horizontal="center" vertical="center"/>
    </xf>
    <xf numFmtId="0" fontId="1" fillId="3" borderId="18" xfId="0" applyFont="1" applyFill="1" applyBorder="1" applyAlignment="1">
      <alignment horizontal="center" vertical="center"/>
    </xf>
    <xf numFmtId="0" fontId="0" fillId="4" borderId="6" xfId="0" applyFill="1" applyBorder="1" applyAlignment="1">
      <alignment vertical="center"/>
    </xf>
    <xf numFmtId="176" fontId="0" fillId="2" borderId="19" xfId="0" applyNumberFormat="1" applyFill="1" applyBorder="1" applyAlignment="1">
      <alignment vertical="center"/>
    </xf>
    <xf numFmtId="0" fontId="0" fillId="4" borderId="9" xfId="0" applyFill="1" applyBorder="1" applyAlignment="1">
      <alignment vertical="center"/>
    </xf>
    <xf numFmtId="176" fontId="0" fillId="2" borderId="20" xfId="0" applyNumberFormat="1" applyFill="1" applyBorder="1" applyAlignment="1">
      <alignment vertical="center"/>
    </xf>
    <xf numFmtId="0" fontId="2" fillId="4" borderId="9" xfId="0" applyFont="1" applyFill="1" applyBorder="1" applyAlignment="1">
      <alignment vertical="center"/>
    </xf>
    <xf numFmtId="0" fontId="0" fillId="4" borderId="9" xfId="0" applyFill="1" applyBorder="1" applyAlignment="1">
      <alignment vertical="center" wrapText="1"/>
    </xf>
    <xf numFmtId="3" fontId="0" fillId="2" borderId="20" xfId="0" applyNumberFormat="1" applyFill="1" applyBorder="1" applyAlignment="1">
      <alignment vertical="center"/>
    </xf>
    <xf numFmtId="0" fontId="0" fillId="4" borderId="21" xfId="0" applyFill="1" applyBorder="1" applyAlignment="1">
      <alignment vertical="center" wrapText="1"/>
    </xf>
    <xf numFmtId="3" fontId="0" fillId="2" borderId="22" xfId="0" applyNumberFormat="1" applyFill="1" applyBorder="1" applyAlignment="1">
      <alignment horizontal="right" vertical="center"/>
    </xf>
    <xf numFmtId="0" fontId="0" fillId="4" borderId="23" xfId="0" applyFill="1" applyBorder="1" applyAlignment="1">
      <alignment horizontal="center" vertical="center" wrapText="1"/>
    </xf>
    <xf numFmtId="3" fontId="0" fillId="2" borderId="8" xfId="0" applyNumberFormat="1" applyFill="1" applyBorder="1" applyAlignment="1">
      <alignment horizontal="center" vertical="center"/>
    </xf>
    <xf numFmtId="4" fontId="0" fillId="2" borderId="24" xfId="0" applyNumberFormat="1" applyFill="1" applyBorder="1" applyAlignment="1">
      <alignment horizontal="center" vertical="center"/>
    </xf>
    <xf numFmtId="3" fontId="0" fillId="2" borderId="11" xfId="0" applyNumberFormat="1" applyFill="1" applyBorder="1" applyAlignment="1">
      <alignment horizontal="center" vertical="center"/>
    </xf>
    <xf numFmtId="4" fontId="0" fillId="2" borderId="25" xfId="0" applyNumberFormat="1" applyFill="1" applyBorder="1" applyAlignment="1">
      <alignment horizontal="center" vertical="center"/>
    </xf>
    <xf numFmtId="3" fontId="0" fillId="2" borderId="14" xfId="0" applyNumberFormat="1" applyFill="1" applyBorder="1" applyAlignment="1">
      <alignment horizontal="center" vertical="center"/>
    </xf>
    <xf numFmtId="4" fontId="0" fillId="2" borderId="26" xfId="0" applyNumberFormat="1" applyFill="1" applyBorder="1" applyAlignment="1">
      <alignment horizontal="center" vertical="center"/>
    </xf>
    <xf numFmtId="3" fontId="0" fillId="2" borderId="17" xfId="0" applyNumberFormat="1" applyFill="1" applyBorder="1" applyAlignment="1">
      <alignment horizontal="center" vertical="center"/>
    </xf>
    <xf numFmtId="4" fontId="0" fillId="2" borderId="27" xfId="0" applyNumberFormat="1" applyFill="1" applyBorder="1" applyAlignment="1">
      <alignment horizontal="center" vertical="center"/>
    </xf>
    <xf numFmtId="3" fontId="0" fillId="2" borderId="0" xfId="0" applyNumberFormat="1" applyFill="1"/>
    <xf numFmtId="0" fontId="0" fillId="2" borderId="0" xfId="0" applyFill="1" applyAlignment="1" applyProtection="1">
      <alignment wrapText="1"/>
    </xf>
    <xf numFmtId="0" fontId="0" fillId="2" borderId="0" xfId="0" applyFill="1" applyProtection="1"/>
    <xf numFmtId="0" fontId="0" fillId="5" borderId="0" xfId="0" applyFill="1" applyProtection="1"/>
    <xf numFmtId="0" fontId="3" fillId="5" borderId="0" xfId="0" applyFont="1" applyFill="1" applyProtection="1"/>
    <xf numFmtId="0" fontId="4" fillId="6" borderId="0" xfId="0" applyFont="1" applyFill="1" applyAlignment="1" applyProtection="1">
      <alignment horizontal="center" vertical="center"/>
    </xf>
    <xf numFmtId="0" fontId="3" fillId="2" borderId="0" xfId="0" applyFont="1" applyFill="1" applyProtection="1"/>
    <xf numFmtId="0" fontId="5" fillId="3" borderId="28" xfId="0" applyFont="1" applyFill="1" applyBorder="1" applyAlignment="1" applyProtection="1">
      <alignment horizontal="center" vertical="center"/>
    </xf>
    <xf numFmtId="0" fontId="5" fillId="3" borderId="29" xfId="0" applyFont="1" applyFill="1" applyBorder="1" applyAlignment="1" applyProtection="1">
      <alignment horizontal="center" vertical="center"/>
    </xf>
    <xf numFmtId="0" fontId="6" fillId="2" borderId="28" xfId="0" applyFont="1" applyFill="1" applyBorder="1" applyAlignment="1" applyProtection="1">
      <alignment horizontal="center" vertical="center" wrapText="1"/>
    </xf>
    <xf numFmtId="0" fontId="6" fillId="2" borderId="29" xfId="0" applyFont="1" applyFill="1" applyBorder="1" applyAlignment="1" applyProtection="1">
      <alignment horizontal="center" vertical="center" wrapText="1"/>
    </xf>
    <xf numFmtId="0" fontId="6" fillId="2" borderId="30" xfId="0" applyFont="1" applyFill="1" applyBorder="1" applyAlignment="1" applyProtection="1">
      <alignment horizontal="center" vertical="center" wrapText="1"/>
    </xf>
    <xf numFmtId="0" fontId="7" fillId="2" borderId="28" xfId="0" applyFont="1" applyFill="1" applyBorder="1" applyAlignment="1" applyProtection="1">
      <alignment horizontal="left" vertical="top"/>
    </xf>
    <xf numFmtId="0" fontId="7" fillId="2" borderId="29" xfId="0" applyFont="1" applyFill="1" applyBorder="1" applyAlignment="1" applyProtection="1">
      <alignment horizontal="left" vertical="top"/>
    </xf>
    <xf numFmtId="0" fontId="6" fillId="2" borderId="31"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7" fillId="2" borderId="31"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6" fillId="2" borderId="33" xfId="0" applyFont="1" applyFill="1" applyBorder="1" applyAlignment="1" applyProtection="1">
      <alignment horizontal="center" vertical="center" wrapText="1"/>
    </xf>
    <xf numFmtId="0" fontId="6" fillId="2" borderId="34"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7" fillId="2" borderId="33" xfId="0" applyFont="1" applyFill="1" applyBorder="1" applyAlignment="1" applyProtection="1">
      <alignment horizontal="left" vertical="top"/>
    </xf>
    <xf numFmtId="0" fontId="7" fillId="2" borderId="34" xfId="0" applyFont="1" applyFill="1" applyBorder="1" applyAlignment="1" applyProtection="1">
      <alignment horizontal="left" vertical="top"/>
    </xf>
    <xf numFmtId="0" fontId="8" fillId="4" borderId="36" xfId="0" applyFont="1" applyFill="1" applyBorder="1" applyAlignment="1" applyProtection="1">
      <alignment horizontal="center" vertical="center" wrapText="1"/>
    </xf>
    <xf numFmtId="0" fontId="8" fillId="4" borderId="37" xfId="0" applyFont="1" applyFill="1" applyBorder="1" applyAlignment="1" applyProtection="1">
      <alignment horizontal="center" vertical="center" wrapText="1"/>
    </xf>
    <xf numFmtId="0" fontId="8" fillId="2" borderId="0" xfId="0" applyFont="1" applyFill="1" applyBorder="1" applyAlignment="1" applyProtection="1">
      <alignment vertical="center"/>
    </xf>
    <xf numFmtId="0" fontId="3" fillId="2" borderId="0" xfId="0" applyFont="1" applyFill="1" applyAlignment="1" applyProtection="1">
      <alignment wrapText="1"/>
    </xf>
    <xf numFmtId="0" fontId="3" fillId="2" borderId="38" xfId="0" applyFont="1" applyFill="1" applyBorder="1" applyAlignment="1" applyProtection="1">
      <alignment horizontal="left" vertical="center" wrapText="1"/>
    </xf>
    <xf numFmtId="0" fontId="3" fillId="2" borderId="39"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179" fontId="3" fillId="2" borderId="40" xfId="8" applyNumberFormat="1" applyFont="1" applyFill="1" applyBorder="1" applyAlignment="1" applyProtection="1">
      <alignment horizontal="center" vertical="center" wrapText="1"/>
    </xf>
    <xf numFmtId="179" fontId="3" fillId="2" borderId="39" xfId="8" applyNumberFormat="1" applyFont="1" applyFill="1" applyBorder="1" applyAlignment="1" applyProtection="1">
      <alignment horizontal="center" vertical="center" wrapText="1"/>
    </xf>
    <xf numFmtId="0" fontId="9" fillId="2" borderId="0" xfId="0" applyFont="1" applyFill="1" applyAlignment="1" applyProtection="1">
      <alignment wrapText="1"/>
    </xf>
    <xf numFmtId="0" fontId="3" fillId="6" borderId="38" xfId="0" applyFont="1" applyFill="1" applyBorder="1" applyAlignment="1" applyProtection="1">
      <alignment horizontal="left" vertical="center" wrapText="1"/>
    </xf>
    <xf numFmtId="0" fontId="3" fillId="6" borderId="32" xfId="0" applyFont="1" applyFill="1" applyBorder="1" applyAlignment="1" applyProtection="1">
      <alignment horizontal="center" vertical="center" wrapText="1"/>
    </xf>
    <xf numFmtId="0" fontId="3" fillId="6" borderId="0" xfId="0" applyFont="1" applyFill="1" applyBorder="1" applyAlignment="1" applyProtection="1">
      <alignment vertical="center" wrapText="1"/>
    </xf>
    <xf numFmtId="0" fontId="3" fillId="6" borderId="39" xfId="0" applyFont="1" applyFill="1" applyBorder="1" applyAlignment="1" applyProtection="1">
      <alignment horizontal="center" vertical="center" wrapText="1"/>
    </xf>
    <xf numFmtId="0" fontId="3" fillId="2" borderId="40" xfId="0" applyFont="1" applyFill="1" applyBorder="1" applyAlignment="1" applyProtection="1">
      <alignment horizontal="center" vertical="center" wrapText="1"/>
    </xf>
    <xf numFmtId="176" fontId="3" fillId="2" borderId="40" xfId="0" applyNumberFormat="1" applyFont="1" applyFill="1" applyBorder="1" applyAlignment="1" applyProtection="1">
      <alignment horizontal="center" vertical="center" wrapText="1"/>
    </xf>
    <xf numFmtId="0" fontId="3" fillId="2" borderId="41" xfId="0" applyFont="1" applyFill="1" applyBorder="1" applyAlignment="1" applyProtection="1">
      <alignment horizontal="left" vertical="center" wrapText="1"/>
    </xf>
    <xf numFmtId="180" fontId="3" fillId="2" borderId="42" xfId="0" applyNumberFormat="1" applyFont="1" applyFill="1" applyBorder="1" applyAlignment="1" applyProtection="1">
      <alignment horizontal="center" vertical="center" wrapText="1"/>
    </xf>
    <xf numFmtId="0" fontId="3" fillId="2" borderId="43" xfId="0" applyFont="1" applyFill="1" applyBorder="1" applyAlignment="1" applyProtection="1">
      <alignment horizontal="left" vertical="center" wrapText="1"/>
    </xf>
    <xf numFmtId="179" fontId="3" fillId="2" borderId="44" xfId="8" applyNumberFormat="1" applyFont="1" applyFill="1" applyBorder="1" applyAlignment="1" applyProtection="1">
      <alignment horizontal="center" vertical="center" wrapText="1"/>
    </xf>
    <xf numFmtId="0" fontId="3" fillId="2" borderId="45" xfId="0" applyFont="1" applyFill="1" applyBorder="1" applyAlignment="1" applyProtection="1">
      <alignment horizontal="left" vertical="center" wrapText="1"/>
    </xf>
    <xf numFmtId="179" fontId="3" fillId="2" borderId="46" xfId="8" applyNumberFormat="1" applyFont="1" applyFill="1" applyBorder="1" applyAlignment="1" applyProtection="1">
      <alignment horizontal="center" vertical="center" wrapText="1"/>
    </xf>
    <xf numFmtId="0" fontId="3" fillId="2" borderId="29" xfId="0" applyFont="1" applyFill="1" applyBorder="1" applyAlignment="1" applyProtection="1">
      <alignment horizontal="right" vertical="center" wrapText="1"/>
    </xf>
    <xf numFmtId="0" fontId="3" fillId="2" borderId="29" xfId="0" applyFont="1" applyFill="1" applyBorder="1" applyAlignment="1" applyProtection="1">
      <alignment vertical="center" wrapText="1"/>
    </xf>
    <xf numFmtId="1" fontId="3" fillId="2" borderId="29" xfId="0" applyNumberFormat="1" applyFont="1" applyFill="1" applyBorder="1" applyAlignment="1" applyProtection="1">
      <alignment horizontal="right" vertical="center" wrapText="1"/>
    </xf>
    <xf numFmtId="0" fontId="9" fillId="2" borderId="0" xfId="0" applyFont="1" applyFill="1" applyAlignment="1" applyProtection="1">
      <alignment horizontal="left" wrapText="1"/>
    </xf>
    <xf numFmtId="0" fontId="10" fillId="2" borderId="0" xfId="0" applyFont="1" applyFill="1" applyProtection="1"/>
    <xf numFmtId="0" fontId="0" fillId="0" borderId="0" xfId="0" applyAlignment="1" applyProtection="1"/>
    <xf numFmtId="0" fontId="3" fillId="2" borderId="36" xfId="0" applyFont="1" applyFill="1" applyBorder="1" applyAlignment="1" applyProtection="1">
      <alignment vertical="top" wrapText="1"/>
      <protection locked="0"/>
    </xf>
    <xf numFmtId="0" fontId="0" fillId="0" borderId="47" xfId="0" applyBorder="1" applyAlignment="1" applyProtection="1">
      <alignment vertical="top" wrapText="1"/>
      <protection locked="0"/>
    </xf>
    <xf numFmtId="0" fontId="0" fillId="0" borderId="47" xfId="0" applyBorder="1" applyAlignment="1" applyProtection="1">
      <protection locked="0"/>
    </xf>
    <xf numFmtId="0" fontId="3" fillId="2" borderId="36" xfId="0" applyFont="1" applyFill="1" applyBorder="1" applyAlignment="1" applyProtection="1">
      <alignment wrapText="1"/>
      <protection locked="0"/>
    </xf>
    <xf numFmtId="0" fontId="0" fillId="0" borderId="47" xfId="0" applyBorder="1" applyAlignment="1" applyProtection="1">
      <alignment wrapText="1"/>
      <protection locked="0"/>
    </xf>
    <xf numFmtId="0" fontId="5" fillId="3" borderId="30" xfId="0" applyFont="1" applyFill="1" applyBorder="1" applyAlignment="1" applyProtection="1">
      <alignment horizontal="center" vertical="center"/>
    </xf>
    <xf numFmtId="0" fontId="5" fillId="3" borderId="28" xfId="0" applyFont="1" applyFill="1" applyBorder="1" applyAlignment="1" applyProtection="1">
      <alignment horizontal="center"/>
    </xf>
    <xf numFmtId="0" fontId="5" fillId="3" borderId="30" xfId="0" applyFont="1" applyFill="1" applyBorder="1" applyAlignment="1" applyProtection="1">
      <alignment horizontal="center"/>
    </xf>
    <xf numFmtId="0" fontId="7" fillId="2" borderId="30" xfId="0" applyFont="1" applyFill="1" applyBorder="1" applyAlignment="1" applyProtection="1">
      <alignment horizontal="left" vertical="top"/>
    </xf>
    <xf numFmtId="0" fontId="5" fillId="3" borderId="33" xfId="0" applyFont="1" applyFill="1" applyBorder="1" applyAlignment="1" applyProtection="1">
      <alignment horizontal="center"/>
    </xf>
    <xf numFmtId="0" fontId="5" fillId="3" borderId="35" xfId="0" applyFont="1" applyFill="1" applyBorder="1" applyAlignment="1" applyProtection="1">
      <alignment horizontal="center"/>
    </xf>
    <xf numFmtId="0" fontId="7" fillId="2" borderId="32" xfId="0" applyFont="1" applyFill="1" applyBorder="1" applyAlignment="1" applyProtection="1">
      <alignment horizontal="left" vertical="top"/>
    </xf>
    <xf numFmtId="0" fontId="3" fillId="2" borderId="48" xfId="0" applyFont="1" applyFill="1" applyBorder="1" applyAlignment="1" applyProtection="1">
      <alignment horizontal="left" vertical="center"/>
    </xf>
    <xf numFmtId="2" fontId="3" fillId="2" borderId="49" xfId="0" applyNumberFormat="1" applyFont="1" applyFill="1" applyBorder="1" applyAlignment="1" applyProtection="1">
      <alignment horizontal="center" vertical="center"/>
    </xf>
    <xf numFmtId="0" fontId="7" fillId="2" borderId="35" xfId="0" applyFont="1" applyFill="1" applyBorder="1" applyAlignment="1" applyProtection="1">
      <alignment horizontal="left" vertical="top"/>
    </xf>
    <xf numFmtId="0" fontId="3" fillId="2" borderId="50" xfId="0" applyFont="1" applyFill="1" applyBorder="1" applyAlignment="1" applyProtection="1">
      <alignment horizontal="left" vertical="center"/>
    </xf>
    <xf numFmtId="2" fontId="3" fillId="2" borderId="51" xfId="0" applyNumberFormat="1" applyFont="1" applyFill="1" applyBorder="1" applyAlignment="1" applyProtection="1">
      <alignment horizontal="center" vertical="center"/>
    </xf>
    <xf numFmtId="0" fontId="3" fillId="2" borderId="50" xfId="0" applyFont="1" applyFill="1" applyBorder="1" applyAlignment="1" applyProtection="1">
      <alignment horizontal="left" vertical="center" wrapText="1"/>
    </xf>
    <xf numFmtId="176" fontId="3" fillId="2" borderId="51" xfId="0" applyNumberFormat="1" applyFont="1" applyFill="1" applyBorder="1" applyAlignment="1" applyProtection="1">
      <alignment horizontal="center" vertical="center"/>
    </xf>
    <xf numFmtId="0" fontId="3" fillId="2" borderId="52" xfId="0" applyFont="1" applyFill="1" applyBorder="1" applyAlignment="1" applyProtection="1">
      <alignment horizontal="left" vertical="center"/>
    </xf>
    <xf numFmtId="180" fontId="3" fillId="2" borderId="53" xfId="0" applyNumberFormat="1" applyFont="1" applyFill="1" applyBorder="1" applyAlignment="1" applyProtection="1">
      <alignment horizontal="center" vertical="center"/>
    </xf>
    <xf numFmtId="0" fontId="3" fillId="2" borderId="54" xfId="0" applyFont="1" applyFill="1" applyBorder="1" applyAlignment="1" applyProtection="1">
      <alignment horizontal="left" vertical="center"/>
    </xf>
    <xf numFmtId="2" fontId="3" fillId="2" borderId="55" xfId="0" applyNumberFormat="1" applyFont="1" applyFill="1" applyBorder="1" applyAlignment="1" applyProtection="1">
      <alignment horizontal="center" vertical="center"/>
    </xf>
    <xf numFmtId="0" fontId="3" fillId="2" borderId="56" xfId="0" applyFont="1" applyFill="1" applyBorder="1" applyAlignment="1" applyProtection="1">
      <alignment horizontal="left" vertical="center"/>
    </xf>
    <xf numFmtId="180" fontId="3" fillId="2" borderId="57" xfId="0" applyNumberFormat="1" applyFont="1" applyFill="1" applyBorder="1" applyAlignment="1" applyProtection="1">
      <alignment horizontal="center" vertical="center"/>
    </xf>
    <xf numFmtId="11" fontId="3" fillId="2" borderId="55" xfId="0" applyNumberFormat="1" applyFont="1" applyFill="1" applyBorder="1" applyAlignment="1" applyProtection="1">
      <alignment horizontal="center" vertical="center"/>
    </xf>
    <xf numFmtId="0" fontId="3" fillId="2" borderId="51" xfId="0" applyFont="1" applyFill="1" applyBorder="1" applyAlignment="1" applyProtection="1">
      <alignment horizontal="center" vertical="center"/>
    </xf>
    <xf numFmtId="0" fontId="3" fillId="2" borderId="52" xfId="0" applyFont="1" applyFill="1" applyBorder="1" applyAlignment="1" applyProtection="1">
      <alignment horizontal="left" vertical="center" wrapText="1"/>
    </xf>
    <xf numFmtId="176" fontId="3" fillId="2" borderId="53" xfId="0" applyNumberFormat="1" applyFont="1" applyFill="1" applyBorder="1" applyAlignment="1" applyProtection="1">
      <alignment horizontal="center" vertical="center"/>
    </xf>
    <xf numFmtId="0" fontId="3" fillId="2" borderId="58" xfId="0" applyFont="1" applyFill="1" applyBorder="1" applyAlignment="1" applyProtection="1">
      <alignment horizontal="left" vertical="center" wrapText="1"/>
    </xf>
    <xf numFmtId="179" fontId="3" fillId="2" borderId="59" xfId="8" applyNumberFormat="1" applyFont="1" applyFill="1" applyBorder="1" applyAlignment="1" applyProtection="1">
      <alignment horizontal="center" vertical="center"/>
    </xf>
    <xf numFmtId="0" fontId="3" fillId="2" borderId="60" xfId="0" applyFont="1" applyFill="1" applyBorder="1" applyAlignment="1" applyProtection="1">
      <alignment horizontal="left" vertical="center" wrapText="1"/>
    </xf>
    <xf numFmtId="179" fontId="3" fillId="2" borderId="61" xfId="8" applyNumberFormat="1" applyFont="1" applyFill="1" applyBorder="1" applyAlignment="1" applyProtection="1">
      <alignment horizontal="center" vertical="center"/>
    </xf>
    <xf numFmtId="0" fontId="0" fillId="0" borderId="37" xfId="0" applyBorder="1" applyAlignment="1" applyProtection="1">
      <protection locked="0"/>
    </xf>
    <xf numFmtId="0" fontId="3" fillId="2" borderId="28" xfId="0" applyFont="1" applyFill="1" applyBorder="1" applyAlignment="1" applyProtection="1">
      <alignment horizontal="left" vertical="top"/>
      <protection locked="0"/>
    </xf>
    <xf numFmtId="0" fontId="3" fillId="2" borderId="29" xfId="0" applyFont="1" applyFill="1" applyBorder="1" applyAlignment="1" applyProtection="1">
      <alignment horizontal="left" vertical="top"/>
      <protection locked="0"/>
    </xf>
    <xf numFmtId="0" fontId="3" fillId="2" borderId="30" xfId="0" applyFont="1" applyFill="1" applyBorder="1" applyAlignment="1" applyProtection="1">
      <alignment horizontal="left" vertical="top"/>
      <protection locked="0"/>
    </xf>
    <xf numFmtId="0" fontId="3" fillId="2" borderId="31" xfId="0" applyFont="1" applyFill="1" applyBorder="1" applyAlignment="1" applyProtection="1">
      <alignment horizontal="left" vertical="top"/>
      <protection locked="0"/>
    </xf>
    <xf numFmtId="0" fontId="3" fillId="2" borderId="0" xfId="0" applyFont="1" applyFill="1" applyBorder="1" applyAlignment="1" applyProtection="1">
      <alignment horizontal="left" vertical="top"/>
      <protection locked="0"/>
    </xf>
    <xf numFmtId="0" fontId="3" fillId="2" borderId="32" xfId="0" applyFont="1" applyFill="1" applyBorder="1" applyAlignment="1" applyProtection="1">
      <alignment horizontal="left" vertical="top"/>
      <protection locked="0"/>
    </xf>
    <xf numFmtId="0" fontId="3" fillId="2" borderId="33" xfId="0" applyFont="1" applyFill="1" applyBorder="1" applyAlignment="1" applyProtection="1">
      <alignment horizontal="left" vertical="top"/>
      <protection locked="0"/>
    </xf>
    <xf numFmtId="0" fontId="3" fillId="2" borderId="34" xfId="0" applyFont="1" applyFill="1" applyBorder="1" applyAlignment="1" applyProtection="1">
      <alignment horizontal="left" vertical="top"/>
      <protection locked="0"/>
    </xf>
    <xf numFmtId="0" fontId="3" fillId="2" borderId="35" xfId="0" applyFont="1" applyFill="1" applyBorder="1" applyAlignment="1" applyProtection="1">
      <alignment horizontal="left" vertical="top"/>
      <protection locked="0"/>
    </xf>
    <xf numFmtId="0" fontId="0" fillId="2" borderId="58" xfId="0" applyFill="1" applyBorder="1" applyAlignment="1">
      <alignment wrapText="1"/>
    </xf>
    <xf numFmtId="0" fontId="0" fillId="2" borderId="62" xfId="0" applyFill="1" applyBorder="1" applyAlignment="1">
      <alignment horizontal="left"/>
    </xf>
    <xf numFmtId="0" fontId="0" fillId="2" borderId="50" xfId="0" applyFill="1" applyBorder="1" applyAlignment="1">
      <alignment wrapText="1"/>
    </xf>
    <xf numFmtId="0" fontId="0" fillId="2" borderId="51" xfId="0" applyFill="1" applyBorder="1" applyAlignment="1">
      <alignment horizontal="left"/>
    </xf>
    <xf numFmtId="3" fontId="0" fillId="2" borderId="51" xfId="0" applyNumberFormat="1" applyFill="1" applyBorder="1" applyAlignment="1">
      <alignment horizontal="left"/>
    </xf>
    <xf numFmtId="0" fontId="2" fillId="2" borderId="50" xfId="0" applyFont="1" applyFill="1" applyBorder="1" applyAlignment="1">
      <alignment wrapText="1"/>
    </xf>
    <xf numFmtId="181" fontId="0" fillId="2" borderId="51" xfId="0" applyNumberFormat="1" applyFill="1" applyBorder="1" applyAlignment="1">
      <alignment horizontal="left"/>
    </xf>
    <xf numFmtId="1" fontId="0" fillId="2" borderId="51" xfId="0" applyNumberFormat="1" applyFill="1" applyBorder="1" applyAlignment="1">
      <alignment horizontal="left"/>
    </xf>
    <xf numFmtId="0" fontId="0" fillId="2" borderId="60" xfId="0" applyFill="1" applyBorder="1" applyAlignment="1">
      <alignment wrapText="1"/>
    </xf>
    <xf numFmtId="1" fontId="0" fillId="2" borderId="63" xfId="0" applyNumberFormat="1" applyFill="1" applyBorder="1" applyAlignment="1">
      <alignment horizontal="left"/>
    </xf>
    <xf numFmtId="0" fontId="0" fillId="2" borderId="58" xfId="0" applyFill="1" applyBorder="1"/>
    <xf numFmtId="2" fontId="0" fillId="2" borderId="62" xfId="0" applyNumberFormat="1" applyFill="1" applyBorder="1" applyAlignment="1">
      <alignment horizontal="left"/>
    </xf>
    <xf numFmtId="0" fontId="0" fillId="2" borderId="50" xfId="0" applyFill="1" applyBorder="1"/>
    <xf numFmtId="2" fontId="0" fillId="2" borderId="51" xfId="0" applyNumberFormat="1" applyFill="1" applyBorder="1" applyAlignment="1">
      <alignment horizontal="left"/>
    </xf>
    <xf numFmtId="182" fontId="0" fillId="2" borderId="51" xfId="0" applyNumberFormat="1" applyFill="1" applyBorder="1" applyAlignment="1">
      <alignment horizontal="left"/>
    </xf>
    <xf numFmtId="0" fontId="0" fillId="2" borderId="60" xfId="0" applyFill="1" applyBorder="1"/>
    <xf numFmtId="183" fontId="0" fillId="2" borderId="51" xfId="0" applyNumberFormat="1" applyFill="1" applyBorder="1" applyAlignment="1">
      <alignment horizontal="left"/>
    </xf>
    <xf numFmtId="11" fontId="0" fillId="2" borderId="62" xfId="0" applyNumberFormat="1" applyFill="1" applyBorder="1" applyAlignment="1">
      <alignment horizontal="left"/>
    </xf>
    <xf numFmtId="183" fontId="0" fillId="2" borderId="63" xfId="0" applyNumberFormat="1" applyFill="1" applyBorder="1" applyAlignment="1">
      <alignment horizontal="left"/>
    </xf>
    <xf numFmtId="0" fontId="2" fillId="2" borderId="60" xfId="0" applyFont="1" applyFill="1" applyBorder="1" applyAlignment="1">
      <alignment wrapText="1"/>
    </xf>
    <xf numFmtId="182" fontId="0" fillId="2" borderId="63" xfId="0" applyNumberFormat="1" applyFill="1" applyBorder="1" applyAlignment="1">
      <alignment horizontal="left"/>
    </xf>
    <xf numFmtId="0" fontId="0" fillId="2" borderId="0" xfId="0"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0" fillId="2" borderId="58" xfId="0" applyFill="1" applyBorder="1" applyAlignment="1">
      <alignment vertical="center" wrapText="1"/>
    </xf>
    <xf numFmtId="2" fontId="0" fillId="2" borderId="62" xfId="0" applyNumberFormat="1" applyFill="1" applyBorder="1" applyAlignment="1">
      <alignment vertical="center" wrapText="1"/>
    </xf>
    <xf numFmtId="0" fontId="2" fillId="2" borderId="50" xfId="0" applyFont="1" applyFill="1" applyBorder="1" applyAlignment="1">
      <alignment vertical="center" wrapText="1"/>
    </xf>
    <xf numFmtId="183" fontId="0" fillId="2" borderId="51" xfId="0" applyNumberFormat="1" applyFill="1" applyBorder="1" applyAlignment="1">
      <alignment vertical="center"/>
    </xf>
    <xf numFmtId="0" fontId="13" fillId="3" borderId="1" xfId="0"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0" fillId="2" borderId="60" xfId="0" applyFill="1" applyBorder="1" applyAlignment="1">
      <alignment vertical="center" wrapText="1"/>
    </xf>
    <xf numFmtId="183" fontId="0" fillId="2" borderId="63" xfId="0" applyNumberFormat="1" applyFill="1" applyBorder="1" applyAlignment="1">
      <alignment vertical="center"/>
    </xf>
    <xf numFmtId="0" fontId="0" fillId="4" borderId="64" xfId="0" applyFill="1" applyBorder="1" applyAlignment="1" applyProtection="1">
      <alignment horizontal="center" vertical="center"/>
      <protection locked="0"/>
    </xf>
    <xf numFmtId="0" fontId="0" fillId="4" borderId="65" xfId="0" applyFill="1" applyBorder="1" applyAlignment="1" applyProtection="1">
      <alignment horizontal="center" vertical="center"/>
      <protection locked="0"/>
    </xf>
    <xf numFmtId="0" fontId="0" fillId="2" borderId="66" xfId="0" applyFill="1" applyBorder="1" applyAlignment="1" applyProtection="1">
      <alignment vertical="center"/>
      <protection locked="0"/>
    </xf>
    <xf numFmtId="2" fontId="0" fillId="2" borderId="62" xfId="0" applyNumberFormat="1" applyFill="1" applyBorder="1" applyAlignment="1">
      <alignment vertical="center"/>
    </xf>
    <xf numFmtId="0" fontId="0" fillId="2" borderId="67" xfId="0" applyFill="1" applyBorder="1" applyAlignment="1" applyProtection="1">
      <alignment horizontal="right" vertical="center"/>
      <protection locked="0"/>
    </xf>
    <xf numFmtId="0" fontId="0" fillId="2" borderId="68" xfId="0" applyFill="1" applyBorder="1" applyAlignment="1" applyProtection="1">
      <alignment horizontal="right" vertical="center"/>
      <protection locked="0"/>
    </xf>
    <xf numFmtId="0" fontId="0" fillId="2" borderId="69" xfId="0" applyFill="1" applyBorder="1" applyAlignment="1" applyProtection="1">
      <alignment vertical="center"/>
      <protection locked="0"/>
    </xf>
    <xf numFmtId="0" fontId="0" fillId="2" borderId="70" xfId="0" applyFill="1" applyBorder="1" applyAlignment="1" applyProtection="1">
      <alignment horizontal="right" vertical="center"/>
      <protection locked="0"/>
    </xf>
    <xf numFmtId="0" fontId="0" fillId="2" borderId="71" xfId="0" applyFill="1" applyBorder="1" applyAlignment="1" applyProtection="1">
      <alignment horizontal="right" vertical="center"/>
      <protection locked="0"/>
    </xf>
    <xf numFmtId="11" fontId="0" fillId="2" borderId="71" xfId="0" applyNumberFormat="1" applyFill="1" applyBorder="1" applyAlignment="1" applyProtection="1">
      <alignment horizontal="right" vertical="center"/>
      <protection locked="0"/>
    </xf>
    <xf numFmtId="0" fontId="0" fillId="2" borderId="0" xfId="0" applyFill="1" applyBorder="1" applyAlignment="1" applyProtection="1">
      <alignment vertical="center"/>
      <protection locked="0"/>
    </xf>
    <xf numFmtId="0" fontId="0" fillId="2" borderId="58" xfId="0" applyFill="1" applyBorder="1" applyAlignment="1">
      <alignment vertical="center"/>
    </xf>
    <xf numFmtId="2" fontId="0" fillId="2" borderId="71" xfId="0" applyNumberFormat="1" applyFill="1" applyBorder="1" applyAlignment="1" applyProtection="1">
      <alignment horizontal="right" vertical="center"/>
      <protection locked="0"/>
    </xf>
    <xf numFmtId="0" fontId="0" fillId="2" borderId="50" xfId="0" applyFill="1" applyBorder="1" applyAlignment="1">
      <alignment vertical="center"/>
    </xf>
    <xf numFmtId="182" fontId="0" fillId="2" borderId="51" xfId="0" applyNumberFormat="1" applyFill="1" applyBorder="1" applyAlignment="1">
      <alignment vertical="center"/>
    </xf>
    <xf numFmtId="1" fontId="0" fillId="2" borderId="71" xfId="0" applyNumberFormat="1" applyFill="1" applyBorder="1" applyAlignment="1" applyProtection="1">
      <alignment horizontal="right" vertical="center"/>
      <protection locked="0"/>
    </xf>
    <xf numFmtId="0" fontId="0" fillId="2" borderId="45" xfId="0" applyFill="1" applyBorder="1" applyAlignment="1" applyProtection="1">
      <alignment horizontal="right" vertical="center"/>
      <protection locked="0"/>
    </xf>
    <xf numFmtId="0" fontId="0" fillId="2" borderId="72" xfId="0" applyFill="1" applyBorder="1" applyAlignment="1" applyProtection="1">
      <alignment horizontal="right" vertical="center"/>
      <protection locked="0"/>
    </xf>
    <xf numFmtId="0" fontId="0" fillId="2" borderId="34" xfId="0" applyFill="1" applyBorder="1" applyAlignment="1" applyProtection="1">
      <alignment vertical="center"/>
      <protection locked="0"/>
    </xf>
    <xf numFmtId="0" fontId="0" fillId="2" borderId="60" xfId="0" applyFill="1" applyBorder="1" applyAlignment="1">
      <alignment vertical="center"/>
    </xf>
    <xf numFmtId="0" fontId="0" fillId="2" borderId="62" xfId="0" applyFill="1" applyBorder="1" applyAlignment="1">
      <alignment vertical="center"/>
    </xf>
    <xf numFmtId="1" fontId="0" fillId="2" borderId="51" xfId="0" applyNumberFormat="1" applyFill="1" applyBorder="1" applyAlignment="1">
      <alignment vertical="center"/>
    </xf>
    <xf numFmtId="1" fontId="0" fillId="2" borderId="63" xfId="0" applyNumberFormat="1" applyFill="1" applyBorder="1" applyAlignment="1">
      <alignment vertical="center"/>
    </xf>
    <xf numFmtId="0" fontId="13" fillId="3" borderId="18" xfId="0" applyFont="1" applyFill="1" applyBorder="1" applyAlignment="1" applyProtection="1">
      <alignment horizontal="center" vertical="center"/>
      <protection locked="0"/>
    </xf>
    <xf numFmtId="0" fontId="0" fillId="4" borderId="73" xfId="0" applyFill="1" applyBorder="1" applyAlignment="1" applyProtection="1">
      <alignment horizontal="center" vertical="center"/>
      <protection locked="0"/>
    </xf>
    <xf numFmtId="0" fontId="0" fillId="4" borderId="74" xfId="0" applyFill="1" applyBorder="1" applyAlignment="1" applyProtection="1">
      <alignment horizontal="center" vertical="center"/>
      <protection locked="0"/>
    </xf>
    <xf numFmtId="0" fontId="0" fillId="2" borderId="75" xfId="0" applyFill="1" applyBorder="1" applyAlignment="1" applyProtection="1">
      <alignment horizontal="right" vertical="center"/>
      <protection locked="0"/>
    </xf>
    <xf numFmtId="0" fontId="0" fillId="2" borderId="76" xfId="0" applyFill="1" applyBorder="1" applyAlignment="1" applyProtection="1">
      <alignment horizontal="right" vertical="center"/>
      <protection locked="0"/>
    </xf>
    <xf numFmtId="0" fontId="0" fillId="2" borderId="77" xfId="0" applyFill="1" applyBorder="1" applyAlignment="1" applyProtection="1">
      <alignment horizontal="right" vertical="center"/>
      <protection locked="0"/>
    </xf>
    <xf numFmtId="0" fontId="0" fillId="2" borderId="40" xfId="0" applyFill="1" applyBorder="1" applyAlignment="1" applyProtection="1">
      <alignment horizontal="right" vertical="center"/>
      <protection locked="0"/>
    </xf>
    <xf numFmtId="11" fontId="0" fillId="2" borderId="40" xfId="0" applyNumberFormat="1" applyFill="1" applyBorder="1" applyAlignment="1" applyProtection="1">
      <alignment horizontal="right" vertical="center"/>
      <protection locked="0"/>
    </xf>
    <xf numFmtId="2" fontId="0" fillId="2" borderId="40" xfId="0" applyNumberFormat="1" applyFill="1" applyBorder="1" applyAlignment="1" applyProtection="1">
      <alignment horizontal="right" vertical="center"/>
      <protection locked="0"/>
    </xf>
    <xf numFmtId="1" fontId="0" fillId="2" borderId="40" xfId="0" applyNumberFormat="1" applyFill="1" applyBorder="1" applyAlignment="1" applyProtection="1">
      <alignment horizontal="right" vertical="center"/>
      <protection locked="0"/>
    </xf>
    <xf numFmtId="0" fontId="0" fillId="2" borderId="78" xfId="0" applyFill="1" applyBorder="1" applyAlignment="1" applyProtection="1">
      <alignment horizontal="right" vertical="center"/>
      <protection locked="0"/>
    </xf>
    <xf numFmtId="0" fontId="0" fillId="2" borderId="46" xfId="0" applyFill="1" applyBorder="1" applyAlignment="1" applyProtection="1">
      <alignment horizontal="right" vertical="center"/>
      <protection locked="0"/>
    </xf>
    <xf numFmtId="0" fontId="3" fillId="2" borderId="0" xfId="0" applyFont="1" applyFill="1" applyAlignment="1" applyProtection="1">
      <alignment horizontal="center" vertical="center"/>
    </xf>
    <xf numFmtId="0" fontId="3" fillId="2" borderId="0" xfId="0" applyFont="1" applyFill="1" applyAlignment="1" applyProtection="1">
      <alignment horizontal="center"/>
    </xf>
    <xf numFmtId="0" fontId="14" fillId="2" borderId="0" xfId="0" applyFont="1" applyFill="1" applyAlignment="1" applyProtection="1">
      <alignment horizontal="center" vertical="center"/>
    </xf>
    <xf numFmtId="0" fontId="15" fillId="5" borderId="0" xfId="0" applyFont="1" applyFill="1" applyProtection="1"/>
    <xf numFmtId="0" fontId="15" fillId="7" borderId="0" xfId="0" applyFont="1" applyFill="1" applyBorder="1" applyProtection="1"/>
    <xf numFmtId="0" fontId="16" fillId="7" borderId="0" xfId="0" applyFont="1" applyFill="1" applyBorder="1" applyAlignment="1" applyProtection="1">
      <alignment horizontal="left" vertical="top" wrapText="1"/>
    </xf>
    <xf numFmtId="0" fontId="16" fillId="7" borderId="0" xfId="0" applyFont="1" applyFill="1" applyBorder="1" applyAlignment="1" applyProtection="1">
      <alignment horizontal="left" vertical="top"/>
    </xf>
    <xf numFmtId="0" fontId="16" fillId="5" borderId="0" xfId="0" applyFont="1" applyFill="1" applyBorder="1" applyAlignment="1" applyProtection="1">
      <alignment horizontal="left" vertical="top"/>
    </xf>
    <xf numFmtId="0" fontId="17" fillId="2" borderId="0" xfId="0" applyFont="1" applyFill="1" applyBorder="1" applyAlignment="1" applyProtection="1">
      <alignment horizontal="center" vertical="center"/>
    </xf>
    <xf numFmtId="0" fontId="18" fillId="2" borderId="0" xfId="0" applyFont="1" applyFill="1" applyAlignment="1" applyProtection="1"/>
    <xf numFmtId="0" fontId="3" fillId="5" borderId="0" xfId="0" applyFont="1" applyFill="1" applyAlignment="1" applyProtection="1">
      <alignment horizontal="center" vertical="center"/>
    </xf>
    <xf numFmtId="0" fontId="15" fillId="2" borderId="0" xfId="0" applyFont="1" applyFill="1" applyAlignment="1" applyProtection="1">
      <alignment horizontal="center" vertical="center"/>
    </xf>
    <xf numFmtId="0" fontId="19" fillId="3" borderId="36" xfId="0" applyFont="1" applyFill="1" applyBorder="1" applyAlignment="1" applyProtection="1">
      <alignment horizontal="center" vertical="center"/>
    </xf>
    <xf numFmtId="0" fontId="20" fillId="3" borderId="37" xfId="0" applyFont="1" applyFill="1" applyBorder="1" applyAlignment="1" applyProtection="1"/>
    <xf numFmtId="0" fontId="20" fillId="7" borderId="0" xfId="0" applyFont="1" applyFill="1" applyBorder="1" applyAlignment="1" applyProtection="1"/>
    <xf numFmtId="0" fontId="20" fillId="5" borderId="0" xfId="0" applyFont="1" applyFill="1" applyBorder="1" applyAlignment="1" applyProtection="1"/>
    <xf numFmtId="0" fontId="19" fillId="3" borderId="36" xfId="0" applyFont="1" applyFill="1" applyBorder="1" applyAlignment="1" applyProtection="1">
      <alignment horizontal="center" vertical="center" wrapText="1"/>
    </xf>
    <xf numFmtId="0" fontId="15" fillId="2" borderId="0" xfId="0" applyFont="1" applyFill="1" applyProtection="1"/>
    <xf numFmtId="0" fontId="15" fillId="2" borderId="28" xfId="0" applyNumberFormat="1" applyFont="1" applyFill="1" applyBorder="1" applyAlignment="1" applyProtection="1">
      <alignment horizontal="left" vertical="top" wrapText="1"/>
    </xf>
    <xf numFmtId="0" fontId="15" fillId="2" borderId="30" xfId="0" applyNumberFormat="1" applyFont="1" applyFill="1" applyBorder="1" applyAlignment="1" applyProtection="1">
      <alignment horizontal="left" vertical="top" wrapText="1"/>
    </xf>
    <xf numFmtId="0" fontId="0" fillId="7" borderId="0" xfId="0" applyNumberFormat="1" applyFill="1" applyBorder="1" applyAlignment="1" applyProtection="1"/>
    <xf numFmtId="0" fontId="0" fillId="5" borderId="0" xfId="0" applyNumberFormat="1" applyFill="1" applyBorder="1" applyAlignment="1" applyProtection="1"/>
    <xf numFmtId="0" fontId="15" fillId="8" borderId="28" xfId="0" applyFont="1" applyFill="1" applyBorder="1" applyAlignment="1" applyProtection="1">
      <alignment horizontal="left" vertical="top" wrapText="1"/>
      <protection locked="0"/>
    </xf>
    <xf numFmtId="0" fontId="15" fillId="2" borderId="31" xfId="0" applyNumberFormat="1" applyFont="1" applyFill="1" applyBorder="1" applyAlignment="1" applyProtection="1">
      <alignment horizontal="left" vertical="top" wrapText="1"/>
    </xf>
    <xf numFmtId="0" fontId="15" fillId="2" borderId="32" xfId="0" applyNumberFormat="1" applyFont="1" applyFill="1" applyBorder="1" applyAlignment="1" applyProtection="1">
      <alignment horizontal="left" vertical="top" wrapText="1"/>
    </xf>
    <xf numFmtId="0" fontId="15" fillId="0" borderId="31" xfId="0" applyFont="1" applyBorder="1" applyAlignment="1" applyProtection="1">
      <alignment horizontal="left" vertical="top" wrapText="1"/>
      <protection locked="0"/>
    </xf>
    <xf numFmtId="0" fontId="15" fillId="0" borderId="33" xfId="0" applyFont="1" applyBorder="1" applyAlignment="1" applyProtection="1">
      <alignment horizontal="left" vertical="top" wrapText="1"/>
      <protection locked="0"/>
    </xf>
    <xf numFmtId="0" fontId="15" fillId="2" borderId="79" xfId="0" applyFont="1" applyFill="1" applyBorder="1" applyAlignment="1" applyProtection="1">
      <alignment vertical="center"/>
    </xf>
    <xf numFmtId="0" fontId="15" fillId="2" borderId="80" xfId="0" applyFont="1" applyFill="1" applyBorder="1" applyAlignment="1" applyProtection="1">
      <alignment vertical="center"/>
    </xf>
    <xf numFmtId="0" fontId="15" fillId="2" borderId="81" xfId="0" applyFont="1" applyFill="1" applyBorder="1" applyAlignment="1" applyProtection="1">
      <alignment vertical="center"/>
    </xf>
    <xf numFmtId="0" fontId="21" fillId="2" borderId="29" xfId="0" applyFont="1" applyFill="1" applyBorder="1" applyAlignment="1" applyProtection="1">
      <alignment horizontal="left" vertical="top" wrapText="1"/>
    </xf>
    <xf numFmtId="0" fontId="21" fillId="2" borderId="0" xfId="0" applyFont="1" applyFill="1" applyAlignment="1" applyProtection="1">
      <alignment horizontal="left" vertical="top" wrapText="1"/>
    </xf>
    <xf numFmtId="0" fontId="15" fillId="2" borderId="0" xfId="0" applyFont="1" applyFill="1" applyAlignment="1" applyProtection="1">
      <alignment vertical="top" wrapText="1"/>
    </xf>
    <xf numFmtId="0" fontId="15" fillId="6" borderId="0" xfId="0" applyFont="1" applyFill="1" applyAlignment="1" applyProtection="1">
      <alignment vertical="top" wrapText="1"/>
    </xf>
    <xf numFmtId="0" fontId="15" fillId="5" borderId="0" xfId="0" applyFont="1" applyFill="1" applyAlignment="1" applyProtection="1">
      <alignment vertical="top" wrapText="1"/>
    </xf>
    <xf numFmtId="0" fontId="17" fillId="2" borderId="0" xfId="0" applyFont="1" applyFill="1" applyAlignment="1" applyProtection="1">
      <alignment horizontal="center" vertical="center"/>
    </xf>
    <xf numFmtId="0" fontId="15" fillId="2" borderId="82" xfId="0" applyFont="1" applyFill="1" applyBorder="1" applyAlignment="1" applyProtection="1">
      <alignment horizontal="left" vertical="center" wrapText="1"/>
    </xf>
    <xf numFmtId="0" fontId="15" fillId="2" borderId="80" xfId="0" applyFont="1" applyFill="1" applyBorder="1" applyAlignment="1" applyProtection="1">
      <alignment horizontal="left" vertical="center" wrapText="1"/>
    </xf>
    <xf numFmtId="0" fontId="15" fillId="2" borderId="81" xfId="0" applyFont="1" applyFill="1" applyBorder="1" applyAlignment="1" applyProtection="1">
      <alignment horizontal="left" vertical="center" wrapText="1"/>
    </xf>
    <xf numFmtId="0" fontId="15" fillId="6" borderId="0" xfId="0" applyFont="1" applyFill="1" applyProtection="1"/>
    <xf numFmtId="0" fontId="3" fillId="5" borderId="0" xfId="0" applyFont="1" applyFill="1" applyAlignment="1" applyProtection="1">
      <alignment wrapText="1"/>
    </xf>
    <xf numFmtId="0" fontId="17" fillId="2" borderId="0" xfId="0" applyFont="1" applyFill="1" applyAlignment="1" applyProtection="1">
      <alignment horizontal="center" vertical="center" wrapText="1"/>
    </xf>
    <xf numFmtId="0" fontId="0" fillId="0" borderId="31" xfId="0" applyBorder="1" applyAlignment="1" applyProtection="1"/>
    <xf numFmtId="0" fontId="0" fillId="0" borderId="32" xfId="0" applyBorder="1" applyAlignment="1" applyProtection="1"/>
    <xf numFmtId="0" fontId="15" fillId="2" borderId="82" xfId="0" applyFont="1" applyFill="1" applyBorder="1" applyAlignment="1" applyProtection="1">
      <alignment horizontal="left" wrapText="1"/>
    </xf>
    <xf numFmtId="0" fontId="0" fillId="0" borderId="33" xfId="0" applyBorder="1" applyAlignment="1" applyProtection="1"/>
    <xf numFmtId="0" fontId="0" fillId="0" borderId="35" xfId="0" applyBorder="1" applyAlignment="1" applyProtection="1"/>
    <xf numFmtId="0" fontId="15" fillId="2" borderId="81" xfId="0" applyFont="1" applyFill="1" applyBorder="1" applyAlignment="1" applyProtection="1">
      <alignment horizontal="left" wrapText="1"/>
    </xf>
    <xf numFmtId="0" fontId="22" fillId="2" borderId="0" xfId="0" applyFont="1" applyFill="1" applyProtection="1"/>
    <xf numFmtId="0" fontId="3" fillId="5" borderId="0" xfId="0" applyFont="1" applyFill="1" applyAlignment="1" applyProtection="1">
      <alignment horizontal="center"/>
    </xf>
    <xf numFmtId="0" fontId="15" fillId="5" borderId="0" xfId="0" applyFont="1" applyFill="1" applyAlignment="1" applyProtection="1">
      <alignment horizontal="center"/>
    </xf>
    <xf numFmtId="0" fontId="23" fillId="5" borderId="0" xfId="0" applyFont="1" applyFill="1" applyAlignment="1" applyProtection="1">
      <alignment horizontal="center"/>
    </xf>
    <xf numFmtId="0" fontId="20" fillId="0" borderId="37" xfId="0" applyFont="1" applyBorder="1" applyAlignment="1" applyProtection="1">
      <alignment horizontal="center" vertical="center" wrapText="1"/>
    </xf>
    <xf numFmtId="0" fontId="19" fillId="3" borderId="37" xfId="0" applyFont="1" applyFill="1" applyBorder="1" applyAlignment="1" applyProtection="1">
      <alignment horizontal="center" vertical="center" wrapText="1"/>
    </xf>
    <xf numFmtId="0" fontId="15" fillId="0" borderId="30" xfId="0" applyFont="1" applyBorder="1" applyAlignment="1" applyProtection="1">
      <alignment horizontal="left" vertical="top" wrapText="1"/>
      <protection locked="0"/>
    </xf>
    <xf numFmtId="0" fontId="15" fillId="9" borderId="83" xfId="0" applyFont="1" applyFill="1" applyBorder="1" applyAlignment="1" applyProtection="1">
      <alignment horizontal="center" vertical="center" wrapText="1"/>
    </xf>
    <xf numFmtId="0" fontId="15" fillId="2" borderId="0" xfId="0" applyFont="1" applyFill="1" applyAlignment="1" applyProtection="1">
      <alignment horizontal="center"/>
    </xf>
    <xf numFmtId="0" fontId="15" fillId="0" borderId="32" xfId="0" applyFont="1" applyBorder="1" applyAlignment="1" applyProtection="1">
      <alignment horizontal="left" vertical="top" wrapText="1"/>
      <protection locked="0"/>
    </xf>
    <xf numFmtId="0" fontId="15" fillId="8" borderId="84" xfId="0" applyFont="1" applyFill="1" applyBorder="1" applyAlignment="1" applyProtection="1">
      <alignment horizontal="center" vertical="center"/>
      <protection locked="0"/>
    </xf>
    <xf numFmtId="10" fontId="15" fillId="8" borderId="85" xfId="11" applyNumberFormat="1" applyFont="1" applyFill="1" applyBorder="1" applyAlignment="1" applyProtection="1">
      <alignment horizontal="center" vertical="center"/>
      <protection locked="0"/>
    </xf>
    <xf numFmtId="0" fontId="15" fillId="8" borderId="86" xfId="0" applyFont="1" applyFill="1" applyBorder="1" applyAlignment="1" applyProtection="1">
      <alignment horizontal="center" vertical="center"/>
      <protection locked="0"/>
    </xf>
    <xf numFmtId="0" fontId="15" fillId="0" borderId="35" xfId="0" applyFont="1" applyBorder="1" applyAlignment="1" applyProtection="1">
      <alignment horizontal="left" vertical="top" wrapText="1"/>
      <protection locked="0"/>
    </xf>
    <xf numFmtId="10" fontId="15" fillId="8" borderId="87" xfId="11" applyNumberFormat="1" applyFont="1" applyFill="1" applyBorder="1" applyAlignment="1" applyProtection="1">
      <alignment horizontal="center" vertical="center"/>
      <protection locked="0"/>
    </xf>
    <xf numFmtId="0" fontId="19" fillId="3" borderId="37" xfId="0" applyFont="1" applyFill="1" applyBorder="1" applyAlignment="1" applyProtection="1">
      <alignment horizontal="center" vertical="center"/>
    </xf>
    <xf numFmtId="0" fontId="15" fillId="10" borderId="86" xfId="0" applyFont="1" applyFill="1" applyBorder="1" applyAlignment="1" applyProtection="1">
      <alignment horizontal="center" vertical="center"/>
    </xf>
    <xf numFmtId="0" fontId="15" fillId="8" borderId="88" xfId="0" applyFont="1" applyFill="1" applyBorder="1" applyAlignment="1" applyProtection="1">
      <alignment horizontal="center" vertical="center"/>
      <protection locked="0"/>
    </xf>
    <xf numFmtId="10" fontId="15" fillId="8" borderId="19" xfId="11" applyNumberFormat="1" applyFont="1" applyFill="1" applyBorder="1" applyAlignment="1" applyProtection="1">
      <alignment horizontal="center" vertical="center"/>
      <protection locked="0"/>
    </xf>
    <xf numFmtId="0" fontId="15" fillId="8" borderId="89" xfId="0" applyFont="1" applyFill="1" applyBorder="1" applyAlignment="1" applyProtection="1">
      <alignment horizontal="center" vertical="center"/>
      <protection locked="0"/>
    </xf>
    <xf numFmtId="10" fontId="15" fillId="8" borderId="20" xfId="11" applyNumberFormat="1" applyFont="1" applyFill="1" applyBorder="1" applyAlignment="1" applyProtection="1">
      <alignment horizontal="center" vertical="center"/>
      <protection locked="0"/>
    </xf>
    <xf numFmtId="10" fontId="15" fillId="8" borderId="22" xfId="11" applyNumberFormat="1" applyFont="1" applyFill="1" applyBorder="1" applyAlignment="1" applyProtection="1">
      <alignment horizontal="center" vertical="center"/>
      <protection locked="0"/>
    </xf>
    <xf numFmtId="0" fontId="18" fillId="0" borderId="0" xfId="0" applyFont="1" applyAlignment="1" applyProtection="1">
      <alignment horizontal="center" vertical="center"/>
    </xf>
    <xf numFmtId="0" fontId="9" fillId="2" borderId="0" xfId="0" applyFont="1" applyFill="1" applyAlignment="1" applyProtection="1">
      <alignment vertical="top"/>
    </xf>
    <xf numFmtId="0" fontId="9" fillId="2" borderId="0" xfId="0" applyFont="1" applyFill="1" applyAlignment="1" applyProtection="1">
      <alignment vertical="top" wrapText="1"/>
    </xf>
    <xf numFmtId="0" fontId="9" fillId="6" borderId="31" xfId="0" applyFont="1" applyFill="1" applyBorder="1" applyAlignment="1" applyProtection="1">
      <alignment vertical="top"/>
    </xf>
    <xf numFmtId="0" fontId="3" fillId="7" borderId="0" xfId="0" applyFont="1" applyFill="1" applyAlignment="1" applyProtection="1"/>
    <xf numFmtId="0" fontId="3" fillId="6" borderId="0" xfId="0" applyFont="1" applyFill="1" applyAlignment="1" applyProtection="1">
      <alignment horizontal="center"/>
    </xf>
    <xf numFmtId="0" fontId="3" fillId="7" borderId="31" xfId="0" applyFont="1" applyFill="1" applyBorder="1" applyAlignment="1" applyProtection="1"/>
    <xf numFmtId="0" fontId="3" fillId="7" borderId="0" xfId="0" applyFont="1" applyFill="1" applyAlignment="1" applyProtection="1">
      <alignment vertical="top" wrapText="1"/>
    </xf>
    <xf numFmtId="0" fontId="3" fillId="6" borderId="0" xfId="0" applyFont="1" applyFill="1" applyProtection="1"/>
    <xf numFmtId="0" fontId="18" fillId="0" borderId="0" xfId="0" applyFont="1" applyAlignment="1" applyProtection="1">
      <alignment vertical="center"/>
    </xf>
    <xf numFmtId="179" fontId="15" fillId="8" borderId="84" xfId="8" applyNumberFormat="1" applyFont="1" applyFill="1" applyBorder="1" applyAlignment="1" applyProtection="1">
      <alignment horizontal="center" vertical="center"/>
      <protection locked="0"/>
    </xf>
    <xf numFmtId="10" fontId="15" fillId="10" borderId="89" xfId="11" applyNumberFormat="1" applyFont="1" applyFill="1" applyBorder="1" applyAlignment="1" applyProtection="1">
      <alignment horizontal="center" vertical="center"/>
    </xf>
    <xf numFmtId="0" fontId="24" fillId="2" borderId="31" xfId="0" applyFont="1" applyFill="1" applyBorder="1" applyAlignment="1" applyProtection="1">
      <alignment horizontal="left" vertical="top" wrapText="1"/>
    </xf>
    <xf numFmtId="0" fontId="24" fillId="2" borderId="0" xfId="0" applyFont="1" applyFill="1" applyBorder="1" applyAlignment="1" applyProtection="1">
      <alignment horizontal="left" vertical="top" wrapText="1"/>
    </xf>
    <xf numFmtId="179" fontId="15" fillId="10" borderId="84" xfId="8" applyNumberFormat="1" applyFont="1" applyFill="1" applyBorder="1" applyAlignment="1" applyProtection="1">
      <alignment horizontal="center"/>
    </xf>
    <xf numFmtId="179" fontId="15" fillId="10" borderId="89" xfId="8" applyNumberFormat="1" applyFont="1" applyFill="1" applyBorder="1" applyAlignment="1" applyProtection="1">
      <alignment horizontal="center"/>
    </xf>
    <xf numFmtId="0" fontId="24" fillId="2" borderId="0" xfId="0" applyFont="1" applyFill="1" applyAlignment="1" applyProtection="1">
      <alignment horizontal="left" vertical="top" wrapText="1"/>
    </xf>
    <xf numFmtId="0" fontId="3" fillId="2" borderId="0" xfId="0" applyFont="1" applyFill="1" applyAlignment="1" applyProtection="1">
      <alignment horizontal="left"/>
    </xf>
    <xf numFmtId="0" fontId="8" fillId="2" borderId="0" xfId="0" applyFont="1" applyFill="1" applyProtection="1"/>
    <xf numFmtId="0" fontId="3" fillId="2" borderId="0" xfId="0" applyFont="1" applyFill="1"/>
    <xf numFmtId="0" fontId="25" fillId="2" borderId="90" xfId="0" applyFont="1" applyFill="1" applyBorder="1" applyAlignment="1" applyProtection="1">
      <alignment horizontal="center" wrapText="1"/>
    </xf>
    <xf numFmtId="0" fontId="15" fillId="2" borderId="91" xfId="0" applyFont="1" applyFill="1" applyBorder="1" applyAlignment="1" applyProtection="1">
      <alignmen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FF0000"/>
      </font>
    </dxf>
  </dxfs>
  <tableStyles count="0" defaultTableStyle="TableStyleMedium9" defaultPivotStyle="PivotStyleLight16"/>
  <colors>
    <mruColors>
      <color rgb="0000B7EB"/>
      <color rgb="0033CCFF"/>
      <color rgb="00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57150</xdr:colOff>
      <xdr:row>1</xdr:row>
      <xdr:rowOff>38100</xdr:rowOff>
    </xdr:from>
    <xdr:to>
      <xdr:col>1</xdr:col>
      <xdr:colOff>962406</xdr:colOff>
      <xdr:row>1</xdr:row>
      <xdr:rowOff>964692</xdr:rowOff>
    </xdr:to>
    <xdr:pic>
      <xdr:nvPicPr>
        <xdr:cNvPr id="4" name="Picture 3" descr="ES Cert Mark Cyan.jpg"/>
        <xdr:cNvPicPr>
          <a:picLocks noChangeAspect="1"/>
        </xdr:cNvPicPr>
      </xdr:nvPicPr>
      <xdr:blipFill>
        <a:blip r:embed="rId1" cstate="print"/>
        <a:stretch>
          <a:fillRect/>
        </a:stretch>
      </xdr:blipFill>
      <xdr:spPr>
        <a:xfrm>
          <a:off x="243205" y="152400"/>
          <a:ext cx="904875" cy="926465"/>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47626</xdr:colOff>
      <xdr:row>1</xdr:row>
      <xdr:rowOff>31751</xdr:rowOff>
    </xdr:from>
    <xdr:to>
      <xdr:col>2</xdr:col>
      <xdr:colOff>704273</xdr:colOff>
      <xdr:row>4</xdr:row>
      <xdr:rowOff>303543</xdr:rowOff>
    </xdr:to>
    <xdr:pic>
      <xdr:nvPicPr>
        <xdr:cNvPr id="4" name="Picture 3" descr="ES Cert Mark Cyan.jpg"/>
        <xdr:cNvPicPr>
          <a:picLocks noChangeAspect="1"/>
        </xdr:cNvPicPr>
      </xdr:nvPicPr>
      <xdr:blipFill>
        <a:blip r:embed="rId1" cstate="print"/>
        <a:stretch>
          <a:fillRect/>
        </a:stretch>
      </xdr:blipFill>
      <xdr:spPr>
        <a:xfrm>
          <a:off x="191135" y="155575"/>
          <a:ext cx="766445" cy="814705"/>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145676</xdr:colOff>
      <xdr:row>1</xdr:row>
      <xdr:rowOff>44822</xdr:rowOff>
    </xdr:from>
    <xdr:to>
      <xdr:col>2</xdr:col>
      <xdr:colOff>604398</xdr:colOff>
      <xdr:row>4</xdr:row>
      <xdr:rowOff>134519</xdr:rowOff>
    </xdr:to>
    <xdr:pic>
      <xdr:nvPicPr>
        <xdr:cNvPr id="3" name="Picture 2" descr="ES Cert Mark Cyan.jpg"/>
        <xdr:cNvPicPr>
          <a:picLocks noChangeAspect="1"/>
        </xdr:cNvPicPr>
      </xdr:nvPicPr>
      <xdr:blipFill>
        <a:blip r:embed="rId1" cstate="print"/>
        <a:stretch>
          <a:fillRect/>
        </a:stretch>
      </xdr:blipFill>
      <xdr:spPr>
        <a:xfrm>
          <a:off x="288925" y="187325"/>
          <a:ext cx="653415" cy="66103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3"/>
  <sheetViews>
    <sheetView workbookViewId="0">
      <selection activeCell="G2" sqref="G2"/>
    </sheetView>
  </sheetViews>
  <sheetFormatPr defaultColWidth="9.10833333333333" defaultRowHeight="14.25" outlineLevelCol="6"/>
  <cols>
    <col min="1" max="1" width="2.44166666666667" style="297" customWidth="1"/>
    <col min="2" max="2" width="92.8833333333333" style="297" customWidth="1"/>
    <col min="3" max="16384" width="9.10833333333333" style="297"/>
  </cols>
  <sheetData>
    <row r="1" ht="9" customHeight="1" spans="1:7">
      <c r="A1" s="52"/>
      <c r="B1" s="52"/>
      <c r="C1" s="52"/>
      <c r="D1" s="52"/>
      <c r="E1" s="52"/>
      <c r="F1" s="52"/>
      <c r="G1" s="52"/>
    </row>
    <row r="2" ht="89.25" customHeight="1" spans="1:7">
      <c r="A2" s="52"/>
      <c r="B2" s="298" t="s">
        <v>0</v>
      </c>
      <c r="C2" s="52"/>
      <c r="D2" s="52"/>
      <c r="E2" s="52"/>
      <c r="F2" s="52"/>
      <c r="G2" s="52"/>
    </row>
    <row r="3" ht="243.75" customHeight="1" spans="1:7">
      <c r="A3" s="52"/>
      <c r="B3" s="299" t="s">
        <v>1</v>
      </c>
      <c r="C3" s="52"/>
      <c r="D3" s="52"/>
      <c r="E3" s="52"/>
      <c r="F3" s="52"/>
      <c r="G3" s="52"/>
    </row>
    <row r="4" ht="15" spans="1:7">
      <c r="A4" s="52"/>
      <c r="B4" s="96"/>
      <c r="C4" s="52"/>
      <c r="D4" s="52"/>
      <c r="E4" s="52"/>
      <c r="F4" s="52"/>
      <c r="G4" s="52"/>
    </row>
    <row r="5" spans="1:7">
      <c r="A5" s="52"/>
      <c r="B5" s="52"/>
      <c r="C5" s="52"/>
      <c r="D5" s="52"/>
      <c r="E5" s="52"/>
      <c r="F5" s="52"/>
      <c r="G5" s="52"/>
    </row>
    <row r="6" spans="1:7">
      <c r="A6" s="52"/>
      <c r="B6" s="52"/>
      <c r="C6" s="52"/>
      <c r="D6" s="52"/>
      <c r="E6" s="52"/>
      <c r="F6" s="52"/>
      <c r="G6" s="52"/>
    </row>
    <row r="7" spans="1:7">
      <c r="A7" s="52"/>
      <c r="B7" s="52"/>
      <c r="C7" s="52"/>
      <c r="D7" s="52"/>
      <c r="E7" s="52"/>
      <c r="F7" s="52"/>
      <c r="G7" s="52"/>
    </row>
    <row r="8" spans="1:7">
      <c r="A8" s="52"/>
      <c r="B8" s="52"/>
      <c r="C8" s="52"/>
      <c r="D8" s="52"/>
      <c r="E8" s="52"/>
      <c r="F8" s="52"/>
      <c r="G8" s="52"/>
    </row>
    <row r="9" spans="1:7">
      <c r="A9" s="52"/>
      <c r="B9" s="52"/>
      <c r="C9" s="52"/>
      <c r="D9" s="52"/>
      <c r="E9" s="52"/>
      <c r="F9" s="52"/>
      <c r="G9" s="52"/>
    </row>
    <row r="10" spans="1:7">
      <c r="A10" s="52"/>
      <c r="B10" s="52"/>
      <c r="C10" s="52"/>
      <c r="D10" s="52"/>
      <c r="E10" s="52"/>
      <c r="F10" s="52"/>
      <c r="G10" s="52"/>
    </row>
    <row r="11" spans="1:7">
      <c r="A11" s="52"/>
      <c r="B11" s="52"/>
      <c r="C11" s="52"/>
      <c r="D11" s="52"/>
      <c r="E11" s="52"/>
      <c r="F11" s="52"/>
      <c r="G11" s="52"/>
    </row>
    <row r="12" spans="1:7">
      <c r="A12" s="52"/>
      <c r="B12" s="52"/>
      <c r="C12" s="52"/>
      <c r="D12" s="52"/>
      <c r="E12" s="52"/>
      <c r="F12" s="52"/>
      <c r="G12" s="52"/>
    </row>
    <row r="13" spans="1:7">
      <c r="A13" s="52"/>
      <c r="B13" s="52"/>
      <c r="C13" s="52"/>
      <c r="D13" s="52"/>
      <c r="E13" s="52"/>
      <c r="F13" s="52"/>
      <c r="G13" s="52"/>
    </row>
  </sheetData>
  <sheetProtection password="C696" sheet="1" objects="1" scenarios="1"/>
  <pageMargins left="0.7" right="0.7" top="0.75" bottom="0.75" header="0.3" footer="0.3"/>
  <pageSetup paperSize="1"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G46"/>
  <sheetViews>
    <sheetView tabSelected="1" view="pageBreakPreview" zoomScaleNormal="55" topLeftCell="A7" workbookViewId="0">
      <selection activeCell="V35" sqref="V35"/>
    </sheetView>
  </sheetViews>
  <sheetFormatPr defaultColWidth="9.10833333333333" defaultRowHeight="14.25"/>
  <cols>
    <col min="1" max="1" width="1.88333333333333" style="52" customWidth="1"/>
    <col min="2" max="2" width="1.44166666666667" style="52" customWidth="1"/>
    <col min="3" max="3" width="16.4416666666667" style="52" customWidth="1"/>
    <col min="4" max="4" width="28.1083333333333" style="52" customWidth="1"/>
    <col min="5" max="6" width="1.88333333333333" style="52" customWidth="1"/>
    <col min="7" max="7" width="2.44166666666667" style="52" customWidth="1"/>
    <col min="8" max="8" width="59.4416666666667" style="52" customWidth="1"/>
    <col min="9" max="9" width="19.1083333333333" style="52" customWidth="1"/>
    <col min="10" max="10" width="2.44166666666667" style="52" customWidth="1"/>
    <col min="11" max="11" width="13.4416666666667" style="209" customWidth="1"/>
    <col min="12" max="12" width="27.4416666666667" style="209" customWidth="1"/>
    <col min="13" max="13" width="1.44166666666667" style="209" customWidth="1"/>
    <col min="14" max="14" width="13.4416666666667" style="209" customWidth="1"/>
    <col min="15" max="15" width="26.1083333333333" style="209" customWidth="1"/>
    <col min="16" max="16" width="1.44166666666667" style="209" customWidth="1"/>
    <col min="17" max="17" width="13.4416666666667" style="209" customWidth="1"/>
    <col min="18" max="18" width="27.4416666666667" style="209" customWidth="1"/>
    <col min="19" max="19" width="2.10833333333333" style="52" customWidth="1"/>
    <col min="20" max="20" width="1.88333333333333" style="52" customWidth="1"/>
    <col min="21" max="16384" width="9.10833333333333" style="52"/>
  </cols>
  <sheetData>
    <row r="1" ht="9.75" customHeight="1" spans="1:20">
      <c r="A1" s="50"/>
      <c r="B1" s="50"/>
      <c r="C1" s="50"/>
      <c r="D1" s="50"/>
      <c r="E1" s="50"/>
      <c r="F1" s="50"/>
      <c r="G1" s="50"/>
      <c r="H1" s="50"/>
      <c r="I1" s="50"/>
      <c r="J1" s="50"/>
      <c r="K1" s="257"/>
      <c r="L1" s="257"/>
      <c r="M1" s="257"/>
      <c r="N1" s="257"/>
      <c r="O1" s="257"/>
      <c r="P1" s="257"/>
      <c r="Q1" s="257"/>
      <c r="R1" s="257"/>
      <c r="S1" s="50"/>
      <c r="T1" s="50"/>
    </row>
    <row r="2" customHeight="1" spans="1:20">
      <c r="A2" s="50"/>
      <c r="B2" s="210" t="s">
        <v>2</v>
      </c>
      <c r="C2" s="97"/>
      <c r="D2" s="97"/>
      <c r="E2" s="97"/>
      <c r="F2" s="97"/>
      <c r="G2" s="97"/>
      <c r="H2" s="97"/>
      <c r="I2" s="97"/>
      <c r="J2" s="97"/>
      <c r="K2" s="97"/>
      <c r="L2" s="97"/>
      <c r="M2" s="97"/>
      <c r="N2" s="97"/>
      <c r="O2" s="97"/>
      <c r="P2" s="97"/>
      <c r="Q2" s="97"/>
      <c r="R2" s="97"/>
      <c r="S2" s="97"/>
      <c r="T2" s="50"/>
    </row>
    <row r="3" customHeight="1" spans="1:20">
      <c r="A3" s="50"/>
      <c r="B3" s="97"/>
      <c r="C3" s="97"/>
      <c r="D3" s="97"/>
      <c r="E3" s="97"/>
      <c r="F3" s="97"/>
      <c r="G3" s="97"/>
      <c r="H3" s="97"/>
      <c r="I3" s="97"/>
      <c r="J3" s="97"/>
      <c r="K3" s="97"/>
      <c r="L3" s="97"/>
      <c r="M3" s="97"/>
      <c r="N3" s="97"/>
      <c r="O3" s="97"/>
      <c r="P3" s="97"/>
      <c r="Q3" s="97"/>
      <c r="R3" s="97"/>
      <c r="S3" s="97"/>
      <c r="T3" s="50"/>
    </row>
    <row r="4" customHeight="1" spans="1:20">
      <c r="A4" s="50"/>
      <c r="B4" s="97"/>
      <c r="C4" s="97"/>
      <c r="D4" s="97"/>
      <c r="E4" s="97"/>
      <c r="F4" s="97"/>
      <c r="G4" s="97"/>
      <c r="H4" s="97"/>
      <c r="I4" s="97"/>
      <c r="J4" s="97"/>
      <c r="K4" s="97"/>
      <c r="L4" s="97"/>
      <c r="M4" s="97"/>
      <c r="N4" s="97"/>
      <c r="O4" s="97"/>
      <c r="P4" s="97"/>
      <c r="Q4" s="97"/>
      <c r="R4" s="97"/>
      <c r="S4" s="97"/>
      <c r="T4" s="50"/>
    </row>
    <row r="5" ht="24.75" customHeight="1" spans="1:20">
      <c r="A5" s="50"/>
      <c r="B5" s="97"/>
      <c r="C5" s="97"/>
      <c r="D5" s="97"/>
      <c r="E5" s="97"/>
      <c r="F5" s="97"/>
      <c r="G5" s="97"/>
      <c r="H5" s="97"/>
      <c r="I5" s="97"/>
      <c r="J5" s="97"/>
      <c r="K5" s="97"/>
      <c r="L5" s="97"/>
      <c r="M5" s="97"/>
      <c r="N5" s="97"/>
      <c r="O5" s="97"/>
      <c r="P5" s="97"/>
      <c r="Q5" s="97"/>
      <c r="R5" s="97"/>
      <c r="S5" s="97"/>
      <c r="T5" s="50"/>
    </row>
    <row r="6" ht="9" customHeight="1" spans="1:20">
      <c r="A6" s="50"/>
      <c r="B6" s="211"/>
      <c r="C6" s="211"/>
      <c r="D6" s="211"/>
      <c r="E6" s="211"/>
      <c r="F6" s="211"/>
      <c r="G6" s="211"/>
      <c r="H6" s="211"/>
      <c r="I6" s="211"/>
      <c r="J6" s="211"/>
      <c r="K6" s="258"/>
      <c r="L6" s="258"/>
      <c r="M6" s="258"/>
      <c r="N6" s="259"/>
      <c r="O6" s="258"/>
      <c r="P6" s="258"/>
      <c r="Q6" s="258"/>
      <c r="R6" s="258"/>
      <c r="S6" s="50"/>
      <c r="T6" s="50"/>
    </row>
    <row r="7" ht="34.5" customHeight="1" spans="1:20">
      <c r="A7" s="50"/>
      <c r="B7" s="212"/>
      <c r="C7" s="213"/>
      <c r="D7" s="214"/>
      <c r="E7" s="214"/>
      <c r="F7" s="215"/>
      <c r="G7" s="216" t="s">
        <v>3</v>
      </c>
      <c r="H7" s="217"/>
      <c r="I7" s="217"/>
      <c r="J7" s="217"/>
      <c r="K7" s="217"/>
      <c r="L7" s="217"/>
      <c r="M7" s="217"/>
      <c r="N7" s="217"/>
      <c r="O7" s="217"/>
      <c r="P7" s="217"/>
      <c r="Q7" s="217"/>
      <c r="R7" s="217"/>
      <c r="S7" s="217"/>
      <c r="T7" s="50"/>
    </row>
    <row r="8" s="208" customFormat="1" ht="39" customHeight="1" spans="1:20">
      <c r="A8" s="218"/>
      <c r="B8" s="219"/>
      <c r="C8" s="220" t="s">
        <v>4</v>
      </c>
      <c r="D8" s="221"/>
      <c r="E8" s="222"/>
      <c r="F8" s="223"/>
      <c r="G8" s="219"/>
      <c r="H8" s="224" t="s">
        <v>5</v>
      </c>
      <c r="I8" s="260"/>
      <c r="J8" s="219"/>
      <c r="K8" s="224" t="str">
        <f>IF(I21="","Tested Case Temperature 1",CONCATENATE("Test Data for ",I21,"⁰C Case Temperature"))</f>
        <v>Test Data for 55⁰C Case Temperature</v>
      </c>
      <c r="L8" s="261"/>
      <c r="M8" s="219"/>
      <c r="N8" s="224" t="str">
        <f>IF(I22="","Tested Case Temperature 2",CONCATENATE("Test Data for ",I22,"⁰C Case Temperature"))</f>
        <v>Test Data for 85⁰C Case Temperature</v>
      </c>
      <c r="O8" s="261"/>
      <c r="P8" s="219"/>
      <c r="Q8" s="224" t="str">
        <f>IF(I23="","Tested Case Temperature 3",CONCATENATE("Test Data for ",I23,"⁰C Case Temperature"))</f>
        <v>Tested Case Temperature 3</v>
      </c>
      <c r="R8" s="261"/>
      <c r="T8" s="218"/>
    </row>
    <row r="9" ht="48" customHeight="1" spans="1:33">
      <c r="A9" s="50"/>
      <c r="B9" s="225"/>
      <c r="C9" s="226" t="s">
        <v>6</v>
      </c>
      <c r="D9" s="227"/>
      <c r="E9" s="228"/>
      <c r="F9" s="229"/>
      <c r="G9" s="225"/>
      <c r="H9" s="230"/>
      <c r="I9" s="262"/>
      <c r="J9" s="225"/>
      <c r="K9" s="263" t="s">
        <v>7</v>
      </c>
      <c r="L9" s="263" t="s">
        <v>8</v>
      </c>
      <c r="M9" s="264"/>
      <c r="N9" s="263" t="s">
        <v>7</v>
      </c>
      <c r="O9" s="263" t="s">
        <v>8</v>
      </c>
      <c r="P9" s="264"/>
      <c r="Q9" s="263" t="s">
        <v>7</v>
      </c>
      <c r="R9" s="263" t="s">
        <v>8</v>
      </c>
      <c r="T9" s="50"/>
      <c r="AG9" s="296"/>
    </row>
    <row r="10" ht="15" customHeight="1" spans="1:33">
      <c r="A10" s="50"/>
      <c r="B10" s="225"/>
      <c r="C10" s="231"/>
      <c r="D10" s="232"/>
      <c r="E10" s="228"/>
      <c r="F10" s="229"/>
      <c r="G10" s="225"/>
      <c r="H10" s="233"/>
      <c r="I10" s="265"/>
      <c r="J10" s="225"/>
      <c r="K10" s="266">
        <v>0</v>
      </c>
      <c r="L10" s="267">
        <v>1</v>
      </c>
      <c r="M10" s="219"/>
      <c r="N10" s="266">
        <v>0</v>
      </c>
      <c r="O10" s="267">
        <v>1</v>
      </c>
      <c r="P10" s="219"/>
      <c r="Q10" s="266"/>
      <c r="R10" s="267"/>
      <c r="T10" s="50"/>
      <c r="AG10" s="296"/>
    </row>
    <row r="11" ht="18" customHeight="1" spans="1:33">
      <c r="A11" s="50"/>
      <c r="B11" s="225"/>
      <c r="C11" s="231"/>
      <c r="D11" s="232"/>
      <c r="E11" s="228"/>
      <c r="F11" s="229"/>
      <c r="G11" s="225"/>
      <c r="H11" s="233"/>
      <c r="I11" s="265"/>
      <c r="J11" s="225"/>
      <c r="K11" s="268">
        <v>1000</v>
      </c>
      <c r="L11" s="267">
        <v>0.994</v>
      </c>
      <c r="M11" s="219"/>
      <c r="N11" s="268">
        <v>1000</v>
      </c>
      <c r="O11" s="267">
        <v>0.994</v>
      </c>
      <c r="P11" s="219"/>
      <c r="Q11" s="268"/>
      <c r="R11" s="270"/>
      <c r="T11" s="50"/>
      <c r="AG11" s="296"/>
    </row>
    <row r="12" ht="18.75" customHeight="1" spans="1:33">
      <c r="A12" s="50"/>
      <c r="B12" s="225"/>
      <c r="C12" s="231"/>
      <c r="D12" s="232"/>
      <c r="E12" s="228"/>
      <c r="F12" s="229"/>
      <c r="G12" s="225"/>
      <c r="H12" s="234"/>
      <c r="I12" s="269"/>
      <c r="J12" s="225"/>
      <c r="K12" s="268">
        <v>2000</v>
      </c>
      <c r="L12" s="270">
        <v>0.992</v>
      </c>
      <c r="M12" s="219"/>
      <c r="N12" s="268">
        <v>2000</v>
      </c>
      <c r="O12" s="270">
        <v>0.99</v>
      </c>
      <c r="P12" s="219"/>
      <c r="Q12" s="268"/>
      <c r="R12" s="270"/>
      <c r="T12" s="50"/>
      <c r="AG12" s="296"/>
    </row>
    <row r="13" ht="18" customHeight="1" spans="1:33">
      <c r="A13" s="50"/>
      <c r="B13" s="225"/>
      <c r="C13" s="231"/>
      <c r="D13" s="232"/>
      <c r="E13" s="228"/>
      <c r="F13" s="229"/>
      <c r="G13" s="225"/>
      <c r="H13" s="225"/>
      <c r="I13" s="225"/>
      <c r="J13" s="225"/>
      <c r="K13" s="268">
        <v>3000</v>
      </c>
      <c r="L13" s="270">
        <v>0.987</v>
      </c>
      <c r="M13" s="219"/>
      <c r="N13" s="268">
        <v>3000</v>
      </c>
      <c r="O13" s="270">
        <v>0.984</v>
      </c>
      <c r="P13" s="219"/>
      <c r="Q13" s="268"/>
      <c r="R13" s="270"/>
      <c r="T13" s="50"/>
      <c r="AG13" s="296"/>
    </row>
    <row r="14" ht="18.75" customHeight="1" spans="1:33">
      <c r="A14" s="50"/>
      <c r="B14" s="225"/>
      <c r="C14" s="231"/>
      <c r="D14" s="232"/>
      <c r="E14" s="228"/>
      <c r="F14" s="229"/>
      <c r="G14" s="225"/>
      <c r="H14" s="225"/>
      <c r="I14" s="225"/>
      <c r="J14" s="225"/>
      <c r="K14" s="268">
        <v>4000</v>
      </c>
      <c r="L14" s="270">
        <v>0.984</v>
      </c>
      <c r="M14" s="219"/>
      <c r="N14" s="268">
        <v>4000</v>
      </c>
      <c r="O14" s="270">
        <v>0.977</v>
      </c>
      <c r="P14" s="219"/>
      <c r="Q14" s="268"/>
      <c r="R14" s="270"/>
      <c r="T14" s="50"/>
      <c r="AG14" s="296"/>
    </row>
    <row r="15" ht="18.75" customHeight="1" spans="1:33">
      <c r="A15" s="50"/>
      <c r="B15" s="225"/>
      <c r="C15" s="231"/>
      <c r="D15" s="232"/>
      <c r="E15" s="228"/>
      <c r="F15" s="229"/>
      <c r="G15" s="225"/>
      <c r="H15" s="220" t="s">
        <v>9</v>
      </c>
      <c r="I15" s="271"/>
      <c r="J15" s="225"/>
      <c r="K15" s="268">
        <v>5000</v>
      </c>
      <c r="L15" s="270">
        <v>0.975</v>
      </c>
      <c r="M15" s="219"/>
      <c r="N15" s="268">
        <v>5000</v>
      </c>
      <c r="O15" s="270">
        <v>0.973</v>
      </c>
      <c r="P15" s="219"/>
      <c r="Q15" s="268"/>
      <c r="R15" s="270"/>
      <c r="T15" s="50"/>
      <c r="AG15" s="296"/>
    </row>
    <row r="16" ht="19.5" customHeight="1" spans="1:33">
      <c r="A16" s="50"/>
      <c r="B16" s="225"/>
      <c r="C16" s="231"/>
      <c r="D16" s="232"/>
      <c r="E16" s="228"/>
      <c r="F16" s="229"/>
      <c r="G16" s="225"/>
      <c r="H16" s="235" t="s">
        <v>10</v>
      </c>
      <c r="I16" s="266">
        <v>20</v>
      </c>
      <c r="J16" s="225"/>
      <c r="K16" s="268">
        <v>6000</v>
      </c>
      <c r="L16" s="270">
        <v>0.974</v>
      </c>
      <c r="M16" s="219"/>
      <c r="N16" s="268">
        <v>6000</v>
      </c>
      <c r="O16" s="270">
        <v>0.973</v>
      </c>
      <c r="P16" s="219"/>
      <c r="Q16" s="268"/>
      <c r="R16" s="270"/>
      <c r="T16" s="50"/>
      <c r="AG16" s="296"/>
    </row>
    <row r="17" ht="19.5" customHeight="1" spans="1:33">
      <c r="A17" s="50"/>
      <c r="B17" s="225"/>
      <c r="C17" s="231"/>
      <c r="D17" s="232"/>
      <c r="E17" s="228"/>
      <c r="F17" s="229"/>
      <c r="G17" s="225"/>
      <c r="H17" s="236" t="s">
        <v>11</v>
      </c>
      <c r="I17" s="268">
        <v>0</v>
      </c>
      <c r="J17" s="225"/>
      <c r="K17" s="268">
        <v>7000</v>
      </c>
      <c r="L17" s="270">
        <v>0.969</v>
      </c>
      <c r="M17" s="219"/>
      <c r="N17" s="268">
        <v>7000</v>
      </c>
      <c r="O17" s="270">
        <v>0.964</v>
      </c>
      <c r="P17" s="219"/>
      <c r="Q17" s="268"/>
      <c r="R17" s="270"/>
      <c r="T17" s="50"/>
      <c r="AG17" s="296"/>
    </row>
    <row r="18" ht="19.5" customHeight="1" spans="1:33">
      <c r="A18" s="50"/>
      <c r="B18" s="225"/>
      <c r="C18" s="231"/>
      <c r="D18" s="232"/>
      <c r="E18" s="228"/>
      <c r="F18" s="229"/>
      <c r="G18" s="225"/>
      <c r="H18" s="236" t="s">
        <v>12</v>
      </c>
      <c r="I18" s="272">
        <f>IF(I16="","",I16-I17)</f>
        <v>20</v>
      </c>
      <c r="J18" s="225"/>
      <c r="K18" s="268">
        <v>8000</v>
      </c>
      <c r="L18" s="270">
        <v>0.968</v>
      </c>
      <c r="M18" s="219"/>
      <c r="N18" s="268">
        <v>8000</v>
      </c>
      <c r="O18" s="270">
        <v>0.96</v>
      </c>
      <c r="P18" s="219"/>
      <c r="Q18" s="268"/>
      <c r="R18" s="270"/>
      <c r="T18" s="50"/>
      <c r="AG18" s="296"/>
    </row>
    <row r="19" ht="19.5" customHeight="1" spans="1:33">
      <c r="A19" s="50"/>
      <c r="B19" s="225"/>
      <c r="C19" s="231"/>
      <c r="D19" s="232"/>
      <c r="E19" s="228"/>
      <c r="F19" s="229"/>
      <c r="G19" s="225"/>
      <c r="H19" s="236" t="s">
        <v>13</v>
      </c>
      <c r="I19" s="268">
        <v>12000</v>
      </c>
      <c r="J19" s="225"/>
      <c r="K19" s="268">
        <v>9000</v>
      </c>
      <c r="L19" s="270">
        <v>0.966</v>
      </c>
      <c r="M19" s="219"/>
      <c r="N19" s="268">
        <v>9000</v>
      </c>
      <c r="O19" s="270">
        <v>0.961</v>
      </c>
      <c r="P19" s="219"/>
      <c r="Q19" s="268"/>
      <c r="R19" s="270"/>
      <c r="T19" s="50"/>
      <c r="AG19" s="296"/>
    </row>
    <row r="20" ht="19.5" customHeight="1" spans="1:33">
      <c r="A20" s="50"/>
      <c r="B20" s="225"/>
      <c r="C20" s="231"/>
      <c r="D20" s="232"/>
      <c r="E20" s="228"/>
      <c r="F20" s="229"/>
      <c r="G20" s="225"/>
      <c r="H20" s="236" t="s">
        <v>14</v>
      </c>
      <c r="I20" s="268">
        <v>150</v>
      </c>
      <c r="J20" s="225"/>
      <c r="K20" s="268">
        <v>10000</v>
      </c>
      <c r="L20" s="270">
        <v>0.965</v>
      </c>
      <c r="M20" s="219"/>
      <c r="N20" s="268">
        <v>10000</v>
      </c>
      <c r="O20" s="270">
        <v>0.956</v>
      </c>
      <c r="P20" s="219"/>
      <c r="Q20" s="268"/>
      <c r="R20" s="270"/>
      <c r="T20" s="50"/>
      <c r="AG20" s="296"/>
    </row>
    <row r="21" ht="19.5" customHeight="1" spans="1:33">
      <c r="A21" s="50"/>
      <c r="B21" s="225"/>
      <c r="C21" s="231"/>
      <c r="D21" s="232"/>
      <c r="E21" s="228"/>
      <c r="F21" s="229"/>
      <c r="G21" s="225"/>
      <c r="H21" s="236" t="s">
        <v>15</v>
      </c>
      <c r="I21" s="268">
        <v>55</v>
      </c>
      <c r="J21" s="225"/>
      <c r="K21" s="268">
        <v>11000</v>
      </c>
      <c r="L21" s="270">
        <v>0.965</v>
      </c>
      <c r="M21" s="219"/>
      <c r="N21" s="268">
        <v>11000</v>
      </c>
      <c r="O21" s="270">
        <v>0.953</v>
      </c>
      <c r="P21" s="219"/>
      <c r="Q21" s="268"/>
      <c r="R21" s="276"/>
      <c r="T21" s="50"/>
      <c r="AG21" s="296"/>
    </row>
    <row r="22" ht="19.5" customHeight="1" spans="1:33">
      <c r="A22" s="50"/>
      <c r="B22" s="225"/>
      <c r="C22" s="231"/>
      <c r="D22" s="232"/>
      <c r="E22" s="228"/>
      <c r="F22" s="229"/>
      <c r="G22" s="225"/>
      <c r="H22" s="236" t="s">
        <v>16</v>
      </c>
      <c r="I22" s="268">
        <v>85</v>
      </c>
      <c r="J22" s="225"/>
      <c r="K22" s="273">
        <v>12000</v>
      </c>
      <c r="L22" s="274">
        <v>0.964</v>
      </c>
      <c r="M22" s="219"/>
      <c r="N22" s="273">
        <v>12000</v>
      </c>
      <c r="O22" s="274">
        <v>0.95</v>
      </c>
      <c r="P22" s="219"/>
      <c r="Q22" s="268"/>
      <c r="R22" s="276"/>
      <c r="T22" s="50"/>
      <c r="AG22" s="296"/>
    </row>
    <row r="23" ht="21" customHeight="1" spans="1:20">
      <c r="A23" s="50"/>
      <c r="B23" s="225"/>
      <c r="C23" s="231"/>
      <c r="D23" s="232"/>
      <c r="E23" s="228"/>
      <c r="F23" s="229"/>
      <c r="G23" s="225"/>
      <c r="H23" s="237" t="s">
        <v>17</v>
      </c>
      <c r="I23" s="275"/>
      <c r="J23" s="225"/>
      <c r="K23" s="268"/>
      <c r="L23" s="276"/>
      <c r="M23" s="219"/>
      <c r="N23" s="268"/>
      <c r="O23" s="276"/>
      <c r="P23" s="219"/>
      <c r="Q23" s="268"/>
      <c r="R23" s="276"/>
      <c r="T23" s="50"/>
    </row>
    <row r="24" ht="20.25" customHeight="1" spans="1:20">
      <c r="A24" s="50"/>
      <c r="B24" s="225"/>
      <c r="C24" s="231"/>
      <c r="D24" s="232"/>
      <c r="E24" s="228"/>
      <c r="F24" s="229"/>
      <c r="G24" s="225"/>
      <c r="H24" s="238" t="str">
        <f>IF(AND(I22&lt;&gt;"",I21=""),"Please enter value for 'Tested Case Temperature 1'",IF(AND(OR(I21="",I22=""),I23&lt;&gt;""),"Please enter values for 'Tested Case Temperature 1' and Tested Case Temperature 2'",""))</f>
        <v/>
      </c>
      <c r="I24" s="238"/>
      <c r="J24" s="225"/>
      <c r="K24" s="268"/>
      <c r="L24" s="276"/>
      <c r="M24" s="219"/>
      <c r="N24" s="268"/>
      <c r="O24" s="276"/>
      <c r="P24" s="219"/>
      <c r="Q24" s="268"/>
      <c r="R24" s="276"/>
      <c r="T24" s="50"/>
    </row>
    <row r="25" ht="18" customHeight="1" spans="1:20">
      <c r="A25" s="50"/>
      <c r="B25" s="225"/>
      <c r="C25" s="231"/>
      <c r="D25" s="232"/>
      <c r="E25" s="228"/>
      <c r="F25" s="229"/>
      <c r="G25" s="225"/>
      <c r="H25" s="239"/>
      <c r="I25" s="239"/>
      <c r="J25" s="225"/>
      <c r="K25" s="268"/>
      <c r="L25" s="276"/>
      <c r="M25" s="219"/>
      <c r="N25" s="268"/>
      <c r="O25" s="276"/>
      <c r="P25" s="219"/>
      <c r="Q25" s="268"/>
      <c r="R25" s="276"/>
      <c r="T25" s="50"/>
    </row>
    <row r="26" ht="18.75" customHeight="1" spans="1:20">
      <c r="A26" s="50"/>
      <c r="B26" s="225"/>
      <c r="C26" s="231"/>
      <c r="D26" s="232"/>
      <c r="E26" s="228"/>
      <c r="F26" s="229"/>
      <c r="G26" s="225"/>
      <c r="H26" s="239"/>
      <c r="I26" s="239"/>
      <c r="J26" s="225"/>
      <c r="K26" s="268"/>
      <c r="L26" s="276"/>
      <c r="M26" s="219"/>
      <c r="N26" s="268"/>
      <c r="O26" s="276"/>
      <c r="P26" s="219"/>
      <c r="Q26" s="268"/>
      <c r="R26" s="276"/>
      <c r="T26" s="50"/>
    </row>
    <row r="27" ht="21" customHeight="1" spans="1:20">
      <c r="A27" s="50"/>
      <c r="B27" s="225"/>
      <c r="C27" s="231"/>
      <c r="D27" s="232"/>
      <c r="E27" s="228"/>
      <c r="F27" s="229"/>
      <c r="G27" s="225"/>
      <c r="J27" s="225"/>
      <c r="K27" s="268"/>
      <c r="L27" s="276"/>
      <c r="M27" s="219"/>
      <c r="N27" s="268"/>
      <c r="O27" s="276"/>
      <c r="P27" s="219"/>
      <c r="Q27" s="268"/>
      <c r="R27" s="276"/>
      <c r="T27" s="50"/>
    </row>
    <row r="28" ht="18.75" customHeight="1" spans="1:20">
      <c r="A28" s="50"/>
      <c r="B28" s="225"/>
      <c r="C28" s="231"/>
      <c r="D28" s="232"/>
      <c r="E28" s="228"/>
      <c r="F28" s="229"/>
      <c r="G28" s="225"/>
      <c r="J28" s="240"/>
      <c r="K28" s="268"/>
      <c r="L28" s="276"/>
      <c r="M28" s="219"/>
      <c r="N28" s="268"/>
      <c r="O28" s="276"/>
      <c r="P28" s="219"/>
      <c r="Q28" s="268"/>
      <c r="R28" s="276"/>
      <c r="T28" s="50"/>
    </row>
    <row r="29" ht="19.5" customHeight="1" spans="1:20">
      <c r="A29" s="50"/>
      <c r="B29" s="240"/>
      <c r="C29" s="231"/>
      <c r="D29" s="232"/>
      <c r="E29" s="241"/>
      <c r="F29" s="242"/>
      <c r="G29" s="240"/>
      <c r="J29" s="240"/>
      <c r="K29" s="275"/>
      <c r="L29" s="277"/>
      <c r="M29" s="219"/>
      <c r="N29" s="275"/>
      <c r="O29" s="277"/>
      <c r="P29" s="219"/>
      <c r="Q29" s="275"/>
      <c r="R29" s="277"/>
      <c r="T29" s="50"/>
    </row>
    <row r="30" ht="12" customHeight="1" spans="1:20">
      <c r="A30" s="50"/>
      <c r="B30" s="240"/>
      <c r="C30" s="231"/>
      <c r="D30" s="232"/>
      <c r="E30" s="240"/>
      <c r="F30" s="242"/>
      <c r="G30" s="240"/>
      <c r="J30" s="240"/>
      <c r="K30" s="264"/>
      <c r="L30" s="264"/>
      <c r="M30" s="264"/>
      <c r="N30" s="264"/>
      <c r="O30" s="264"/>
      <c r="P30" s="264"/>
      <c r="Q30" s="264"/>
      <c r="R30" s="264"/>
      <c r="T30" s="50"/>
    </row>
    <row r="31" ht="10.5" customHeight="1" spans="1:20">
      <c r="A31" s="50"/>
      <c r="B31" s="241"/>
      <c r="C31" s="231"/>
      <c r="D31" s="232"/>
      <c r="E31" s="241"/>
      <c r="F31" s="242"/>
      <c r="G31" s="242"/>
      <c r="H31" s="50"/>
      <c r="I31" s="50"/>
      <c r="J31" s="242"/>
      <c r="K31" s="258"/>
      <c r="L31" s="258"/>
      <c r="M31" s="258"/>
      <c r="N31" s="258"/>
      <c r="O31" s="258"/>
      <c r="P31" s="258"/>
      <c r="Q31" s="258"/>
      <c r="R31" s="258"/>
      <c r="S31" s="50"/>
      <c r="T31" s="50"/>
    </row>
    <row r="32" ht="27" customHeight="1" spans="1:18">
      <c r="A32" s="50"/>
      <c r="B32" s="241"/>
      <c r="C32" s="231"/>
      <c r="D32" s="232"/>
      <c r="E32" s="241"/>
      <c r="F32" s="242"/>
      <c r="G32" s="240"/>
      <c r="H32" s="243" t="s">
        <v>18</v>
      </c>
      <c r="I32" s="278"/>
      <c r="K32" s="264"/>
      <c r="N32" s="264"/>
      <c r="O32" s="264"/>
      <c r="P32" s="258"/>
      <c r="Q32" s="264"/>
      <c r="R32" s="264"/>
    </row>
    <row r="33" ht="37.5" customHeight="1" spans="1:18">
      <c r="A33" s="50"/>
      <c r="B33" s="241"/>
      <c r="C33" s="231"/>
      <c r="D33" s="232"/>
      <c r="E33" s="241"/>
      <c r="F33" s="242"/>
      <c r="H33" s="244" t="s">
        <v>19</v>
      </c>
      <c r="I33" s="266">
        <v>150</v>
      </c>
      <c r="J33" s="279" t="str">
        <f>IF(I33&gt;I20,"The drive current of the chip in the luminaire must be less than or equal to the chip as tested under LM-80.","")</f>
        <v/>
      </c>
      <c r="K33" s="280"/>
      <c r="L33" s="280"/>
      <c r="N33" s="264"/>
      <c r="O33" s="264"/>
      <c r="P33" s="50"/>
      <c r="Q33" s="264"/>
      <c r="R33" s="264"/>
    </row>
    <row r="34" ht="23.25" customHeight="1" spans="1:18">
      <c r="A34" s="50"/>
      <c r="B34" s="241"/>
      <c r="C34" s="231"/>
      <c r="D34" s="232"/>
      <c r="E34" s="241"/>
      <c r="F34" s="242"/>
      <c r="H34" s="245" t="s">
        <v>20</v>
      </c>
      <c r="I34" s="268">
        <v>55</v>
      </c>
      <c r="J34" s="281" t="str">
        <f>IF('TM-21 Inputs'!I34&gt;MAX('TM-21 Inputs'!I21:I23),"In situ case temperature must be less than or equal to the maximum LM-80 test temperature.","")</f>
        <v/>
      </c>
      <c r="K34" s="282"/>
      <c r="L34" s="282"/>
      <c r="M34" s="283"/>
      <c r="N34" s="264"/>
      <c r="O34" s="264"/>
      <c r="P34" s="50"/>
      <c r="Q34" s="264"/>
      <c r="R34" s="264"/>
    </row>
    <row r="35" ht="40.5" customHeight="1" spans="1:18">
      <c r="A35" s="50"/>
      <c r="B35" s="241"/>
      <c r="C35" s="231"/>
      <c r="D35" s="232"/>
      <c r="E35" s="241"/>
      <c r="F35" s="242"/>
      <c r="H35" s="246" t="s">
        <v>21</v>
      </c>
      <c r="I35" s="275">
        <v>90</v>
      </c>
      <c r="J35" s="284"/>
      <c r="K35" s="282"/>
      <c r="L35" s="282"/>
      <c r="M35" s="283"/>
      <c r="N35" s="264"/>
      <c r="O35" s="264"/>
      <c r="P35" s="50"/>
      <c r="Q35" s="264"/>
      <c r="R35" s="264"/>
    </row>
    <row r="36" ht="11.25" customHeight="1" spans="1:18">
      <c r="A36" s="50"/>
      <c r="B36" s="241"/>
      <c r="C36" s="231"/>
      <c r="D36" s="232"/>
      <c r="E36" s="241"/>
      <c r="F36" s="242"/>
      <c r="H36" s="73"/>
      <c r="J36" s="285"/>
      <c r="K36" s="285"/>
      <c r="L36" s="286"/>
      <c r="M36" s="283"/>
      <c r="N36" s="264"/>
      <c r="O36" s="264"/>
      <c r="P36" s="50"/>
      <c r="Q36" s="264"/>
      <c r="R36" s="264"/>
    </row>
    <row r="37" ht="11.25" customHeight="1" spans="1:18">
      <c r="A37" s="50"/>
      <c r="B37" s="247"/>
      <c r="C37" s="231"/>
      <c r="D37" s="232"/>
      <c r="E37" s="247"/>
      <c r="F37" s="242"/>
      <c r="G37" s="211"/>
      <c r="H37" s="248"/>
      <c r="I37" s="50"/>
      <c r="J37" s="211"/>
      <c r="K37" s="258"/>
      <c r="L37" s="258"/>
      <c r="M37" s="258"/>
      <c r="N37" s="258"/>
      <c r="O37" s="258"/>
      <c r="P37" s="258"/>
      <c r="Q37" s="264"/>
      <c r="R37" s="264"/>
    </row>
    <row r="38" ht="23.25" customHeight="1" spans="1:18">
      <c r="A38" s="50"/>
      <c r="B38" s="247"/>
      <c r="C38" s="231"/>
      <c r="D38" s="232"/>
      <c r="E38" s="247"/>
      <c r="F38" s="242"/>
      <c r="H38" s="249" t="s">
        <v>22</v>
      </c>
      <c r="I38" s="287"/>
      <c r="K38" s="264"/>
      <c r="L38" s="264"/>
      <c r="N38" s="264"/>
      <c r="O38" s="264"/>
      <c r="P38" s="258"/>
      <c r="Q38" s="264"/>
      <c r="R38" s="264"/>
    </row>
    <row r="39" ht="4.5" customHeight="1" spans="1:16">
      <c r="A39" s="50"/>
      <c r="C39" s="231"/>
      <c r="D39" s="232"/>
      <c r="F39" s="242"/>
      <c r="H39" s="73"/>
      <c r="P39" s="257"/>
    </row>
    <row r="40" ht="33.75" customHeight="1" spans="1:16">
      <c r="A40" s="50"/>
      <c r="C40" s="231"/>
      <c r="D40" s="232"/>
      <c r="F40" s="242"/>
      <c r="H40" s="244" t="s">
        <v>23</v>
      </c>
      <c r="I40" s="288">
        <v>50000</v>
      </c>
      <c r="J40" s="256"/>
      <c r="P40" s="257"/>
    </row>
    <row r="41" ht="18.75" spans="1:16">
      <c r="A41" s="50"/>
      <c r="C41" s="231"/>
      <c r="D41" s="232"/>
      <c r="F41" s="242"/>
      <c r="H41" s="246" t="s">
        <v>24</v>
      </c>
      <c r="I41" s="289">
        <f>IFERROR(IF(I40="","",IF('TM-21 Inputs'!I34="","",'Product Inputs'!C13*EXP(-I40*'Product Inputs'!C15))),"")</f>
        <v>0.909136240112073</v>
      </c>
      <c r="J41" s="290" t="str">
        <f>IFERROR(IF(OR('TM-21 Report'!M13&lt;0,'TM-21 Report'!M17&lt;0),"One or more of the tests resulted in negative L70 values. Please refer to sections 5.2.5 and 6.4 of IES TM-21-11 for instructions on how to estimate the reported lumen maintenance life (L70).",IF(I18="","",IF('Product Inputs'!C17="error","Number of samples measured must be ≥10. Please enter the correct number of samples in above",""))),"")</f>
        <v/>
      </c>
      <c r="K41" s="291"/>
      <c r="L41" s="291"/>
      <c r="M41" s="291"/>
      <c r="N41" s="291"/>
      <c r="O41" s="291"/>
      <c r="P41" s="257"/>
    </row>
    <row r="42" ht="18.75" customHeight="1" spans="1:16">
      <c r="A42" s="50"/>
      <c r="C42" s="250"/>
      <c r="D42" s="251"/>
      <c r="F42" s="242"/>
      <c r="H42" s="252" t="str">
        <f>IF(I35="","Calculated LM (hours):",CONCATENATE("Calculated L",'TM-21 Inputs'!I35," (hours):"))</f>
        <v>Calculated L90 (hours):</v>
      </c>
      <c r="I42" s="292">
        <f>IFERROR(ROUND('Product Inputs'!C16,-3),"")</f>
        <v>57000</v>
      </c>
      <c r="J42" s="290"/>
      <c r="K42" s="291"/>
      <c r="L42" s="291"/>
      <c r="M42" s="291"/>
      <c r="N42" s="291"/>
      <c r="O42" s="291"/>
      <c r="P42" s="257"/>
    </row>
    <row r="43" ht="18.75" spans="1:16">
      <c r="A43" s="50"/>
      <c r="C43" s="253"/>
      <c r="D43" s="254"/>
      <c r="F43" s="242"/>
      <c r="H43" s="255" t="str">
        <f>IF(I35="","Reported LM (hours):",CONCATENATE("Reported L",'TM-21 Inputs'!I35," (hours):"))</f>
        <v>Reported L90 (hours):</v>
      </c>
      <c r="I43" s="293">
        <f>IFERROR(IF('Product Inputs'!C17="error","",'Product Inputs'!C17),"")</f>
        <v>57000</v>
      </c>
      <c r="J43" s="290"/>
      <c r="K43" s="291"/>
      <c r="L43" s="291"/>
      <c r="M43" s="291"/>
      <c r="N43" s="291"/>
      <c r="O43" s="291"/>
      <c r="P43" s="257"/>
    </row>
    <row r="44" ht="11.25" customHeight="1" spans="1:16">
      <c r="A44" s="50"/>
      <c r="F44" s="242"/>
      <c r="J44" s="294"/>
      <c r="K44" s="294"/>
      <c r="L44" s="295"/>
      <c r="M44" s="295"/>
      <c r="N44" s="295"/>
      <c r="O44" s="295"/>
      <c r="P44" s="257"/>
    </row>
    <row r="45" ht="11.25" customHeight="1" spans="1:16">
      <c r="A45" s="50"/>
      <c r="B45" s="50"/>
      <c r="C45" s="50"/>
      <c r="D45" s="50"/>
      <c r="E45" s="50"/>
      <c r="F45" s="50"/>
      <c r="G45" s="50"/>
      <c r="H45" s="50"/>
      <c r="I45" s="50"/>
      <c r="J45" s="50"/>
      <c r="K45" s="257"/>
      <c r="L45" s="257"/>
      <c r="M45" s="258"/>
      <c r="N45" s="258"/>
      <c r="O45" s="258"/>
      <c r="P45" s="257"/>
    </row>
    <row r="46" ht="15" spans="3:3">
      <c r="C46" s="256"/>
    </row>
  </sheetData>
  <sheetProtection password="C696" sheet="1" objects="1" scenarios="1"/>
  <mergeCells count="14">
    <mergeCell ref="G7:S7"/>
    <mergeCell ref="C8:D8"/>
    <mergeCell ref="H8:I8"/>
    <mergeCell ref="K8:L8"/>
    <mergeCell ref="N8:O8"/>
    <mergeCell ref="Q8:R8"/>
    <mergeCell ref="H15:I15"/>
    <mergeCell ref="H32:I32"/>
    <mergeCell ref="H38:I38"/>
    <mergeCell ref="B2:S5"/>
    <mergeCell ref="H9:I12"/>
    <mergeCell ref="C9:D43"/>
    <mergeCell ref="J41:O43"/>
    <mergeCell ref="H24:I26"/>
  </mergeCells>
  <conditionalFormatting sqref="I18">
    <cfRule type="cellIs" dxfId="0" priority="1" operator="lessThan">
      <formula>10</formula>
    </cfRule>
  </conditionalFormatting>
  <pageMargins left="0.7" right="0.7" top="0.75" bottom="0.75" header="0.3" footer="0.3"/>
  <pageSetup paperSize="1" scale="43" orientation="landscape" horizontalDpi="300" verticalDpi="300"/>
  <headerFooter/>
  <colBreaks count="1" manualBreakCount="1">
    <brk id="20" max="1048575" man="1"/>
  </colBreaks>
  <ignoredErrors>
    <ignoredError sqref="J34" formulaRange="1"/>
    <ignoredError sqref="I18" unlockedFormula="1"/>
  </ignoredError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B2:M17"/>
  <sheetViews>
    <sheetView zoomScale="70" zoomScaleNormal="70" workbookViewId="0">
      <selection activeCell="C7" sqref="C7"/>
    </sheetView>
  </sheetViews>
  <sheetFormatPr defaultColWidth="9.10833333333333" defaultRowHeight="13.5"/>
  <cols>
    <col min="1" max="1" width="9.10833333333333" style="162"/>
    <col min="2" max="2" width="44.8833333333333" style="162" customWidth="1"/>
    <col min="3" max="3" width="15.4416666666667" style="162" customWidth="1"/>
    <col min="4" max="4" width="12.4416666666667" style="1" customWidth="1"/>
    <col min="5" max="5" width="9.10833333333333" style="1"/>
    <col min="6" max="6" width="19.8833333333333" style="1" customWidth="1"/>
    <col min="7" max="7" width="13" style="1" customWidth="1"/>
    <col min="8" max="8" width="2.88333333333333" style="1" customWidth="1"/>
    <col min="9" max="9" width="19.8833333333333" style="1" customWidth="1"/>
    <col min="10" max="10" width="13" style="1" customWidth="1"/>
    <col min="11" max="11" width="2.55833333333333" style="1" customWidth="1"/>
    <col min="12" max="12" width="19.8833333333333" style="1" customWidth="1"/>
    <col min="13" max="13" width="13" style="1" customWidth="1"/>
    <col min="14" max="16384" width="9.10833333333333" style="1"/>
  </cols>
  <sheetData>
    <row r="2" ht="14.25" spans="2:3">
      <c r="B2" s="163" t="s">
        <v>25</v>
      </c>
      <c r="C2" s="164">
        <f>COUNTIF('TM-21 Inputs'!I21:I23,"&gt;="&amp;0)</f>
        <v>2</v>
      </c>
    </row>
    <row r="3" ht="30" spans="2:3">
      <c r="B3" s="165" t="s">
        <v>26</v>
      </c>
      <c r="C3" s="166">
        <f>IF(OR(C14='Product Inputs'!G7,C14='Product Inputs'!J7,C14='Product Inputs'!M7),C14,IF(C14&gt;MAX('Product Inputs'!G7,'Product Inputs'!J7,'Product Inputs'!M7),"In situ case temp too high",IF(C2=1,'Product Inputs'!G7,IF(AND(C2=2,C14&lt;MIN('Product Inputs'!G7,'Product Inputs'!J7)),'Product Inputs'!G7,IF(AND(C2=2,C14&gt;MIN('Product Inputs'!G7,'Product Inputs'!J7),C14&lt;MAX('Product Inputs'!G7,'Product Inputs'!J7)),MIN('Product Inputs'!G7,'Product Inputs'!J7),IF(AND(C2=3,C14&lt;MIN('Product Inputs'!G7,'Product Inputs'!J7,'Product Inputs'!M7)),'Product Inputs'!G7,IF(AND(C2=3,C14&gt;MIN('Product Inputs'!G7,'Product Inputs'!J7,'Product Inputs'!M7),C14&lt;MEDIAN('Product Inputs'!G7,'Product Inputs'!J7,'Product Inputs'!M7)),MIN('Product Inputs'!G7,'Product Inputs'!J7,'Product Inputs'!M7),IF(AND(C2=3,C14&gt;MEDIAN('Product Inputs'!G7,'Product Inputs'!J7,'Product Inputs'!M7),C14&lt;MAX('Product Inputs'!G7,'Product Inputs'!J7,'Product Inputs'!M7)),MEDIAN('Product Inputs'!G7,'Product Inputs'!J7,'Product Inputs'!M7),"error"))))))))</f>
        <v>328.15</v>
      </c>
    </row>
    <row r="4" ht="18.75" spans="2:13">
      <c r="B4" s="167" t="s">
        <v>27</v>
      </c>
      <c r="C4" s="168">
        <f>IF(C3='Product Inputs'!G7,'Product Inputs'!G8,IF(C3='Product Inputs'!J7,'Product Inputs'!J8,IF(C3='Product Inputs'!M7,'Product Inputs'!M8)))</f>
        <v>1.51203693346858e-6</v>
      </c>
      <c r="F4" s="169" t="s">
        <v>28</v>
      </c>
      <c r="G4" s="170"/>
      <c r="H4" s="170"/>
      <c r="I4" s="170"/>
      <c r="J4" s="170"/>
      <c r="K4" s="170"/>
      <c r="L4" s="170"/>
      <c r="M4" s="196"/>
    </row>
    <row r="5" ht="16.5" spans="2:13">
      <c r="B5" s="171" t="s">
        <v>29</v>
      </c>
      <c r="C5" s="172">
        <f>IF(C3='Product Inputs'!G7,'Product Inputs'!G9,IF(C3='Product Inputs'!J7,'Product Inputs'!J9,IF(C3='Product Inputs'!M7,'Product Inputs'!M9)))</f>
        <v>0.980533497486781</v>
      </c>
      <c r="F5" s="173" t="s">
        <v>30</v>
      </c>
      <c r="G5" s="174"/>
      <c r="H5" s="175"/>
      <c r="I5" s="197" t="s">
        <v>31</v>
      </c>
      <c r="J5" s="174"/>
      <c r="K5" s="175"/>
      <c r="L5" s="197" t="s">
        <v>32</v>
      </c>
      <c r="M5" s="198"/>
    </row>
    <row r="6" ht="29.25" spans="2:13">
      <c r="B6" s="165" t="s">
        <v>33</v>
      </c>
      <c r="C6" s="176" t="str">
        <f>IF(OR(C14='Product Inputs'!G7,C14='Product Inputs'!J7,C14='Product Inputs'!M7,C2=1),"N/A",IF(C14&gt;MAX('Product Inputs'!G7,'Product Inputs'!J7,'Product Inputs'!M7),"N/A",IF(OR(AND(C2=3,C14&lt;=MIN('Product Inputs'!G7,'Product Inputs'!J7,'Product Inputs'!M7)),AND(C14&lt;=MIN('Product Inputs'!G7,'Product Inputs'!J7),C2=2)),"N/A",IF(AND(C2=2,C14&gt;MIN('Product Inputs'!G7,'Product Inputs'!J7),C14&lt;MAX('Product Inputs'!G7,'Product Inputs'!J7)),MAX('Product Inputs'!G7,'Product Inputs'!J7),IF(AND(C2=3,C14&gt;MIN('Product Inputs'!G7,'Product Inputs'!J7,'Product Inputs'!M7),C14&lt;MEDIAN('Product Inputs'!G7,'Product Inputs'!J7,'Product Inputs'!M7)),MEDIAN('Product Inputs'!G7,'Product Inputs'!J7,'Product Inputs'!M7),IF(AND(C2=3,C14&gt;MEDIAN('Product Inputs'!G7,'Product Inputs'!J7,'Product Inputs'!M7),C14&lt;MAX('Product Inputs'!G7,'Product Inputs'!J7,'Product Inputs'!M7)),MAX('Product Inputs'!G7,'Product Inputs'!J7,'Product Inputs'!M7),"error"))))))</f>
        <v>N/A</v>
      </c>
      <c r="F6" s="177" t="s">
        <v>34</v>
      </c>
      <c r="G6" s="178">
        <f>IF('TM-21 Inputs'!I21="","",'TM-21 Inputs'!I21)</f>
        <v>55</v>
      </c>
      <c r="H6" s="179"/>
      <c r="I6" s="199" t="s">
        <v>34</v>
      </c>
      <c r="J6" s="178">
        <f>IF('TM-21 Inputs'!I22="","",'TM-21 Inputs'!I22)</f>
        <v>85</v>
      </c>
      <c r="K6" s="179"/>
      <c r="L6" s="199" t="s">
        <v>34</v>
      </c>
      <c r="M6" s="200" t="str">
        <f>IF('TM-21 Inputs'!I23="","",'TM-21 Inputs'!I23)</f>
        <v/>
      </c>
    </row>
    <row r="7" ht="15" spans="2:13">
      <c r="B7" s="167" t="s">
        <v>35</v>
      </c>
      <c r="C7" s="168" t="str">
        <f>IF(C6="N/A","N/A",IF(C6='Product Inputs'!G7,'Product Inputs'!G8,IF(C6='Product Inputs'!J7,'Product Inputs'!J8,IF(C6='Product Inputs'!M7,'Product Inputs'!M8))))</f>
        <v>N/A</v>
      </c>
      <c r="F7" s="180" t="s">
        <v>36</v>
      </c>
      <c r="G7" s="181">
        <f>IF(G6="","",G6+273.15)</f>
        <v>328.15</v>
      </c>
      <c r="H7" s="179"/>
      <c r="I7" s="201" t="s">
        <v>36</v>
      </c>
      <c r="J7" s="181">
        <f>IF(J6="","",J6+273.15)</f>
        <v>358.15</v>
      </c>
      <c r="K7" s="183"/>
      <c r="L7" s="201" t="s">
        <v>36</v>
      </c>
      <c r="M7" s="202" t="str">
        <f>IF(M6="","",M6+273.15)</f>
        <v/>
      </c>
    </row>
    <row r="8" ht="16.5" spans="2:13">
      <c r="B8" s="171" t="s">
        <v>37</v>
      </c>
      <c r="C8" s="172" t="str">
        <f>IF(C6="N/A","N/A",IF(C6='Product Inputs'!G7,'Product Inputs'!G9,IF(C6='Product Inputs'!J7,'Product Inputs'!J9,IF(C6='Product Inputs'!M7,'Product Inputs'!M9))))</f>
        <v>N/A</v>
      </c>
      <c r="F8" s="180" t="str">
        <f>'Calculations - Case Temp 1'!E31</f>
        <v>α:</v>
      </c>
      <c r="G8" s="182">
        <f>IF(G6="","",'Calculations - Case Temp 1'!F31)</f>
        <v>1.51203693346858e-6</v>
      </c>
      <c r="H8" s="183"/>
      <c r="I8" s="201" t="str">
        <f>'Calculations - Case Temp 2'!E31</f>
        <v>α:</v>
      </c>
      <c r="J8" s="182">
        <f>IF(J6="","",'Calculations - Case Temp 2'!F31)</f>
        <v>3.53194450347943e-6</v>
      </c>
      <c r="K8" s="183"/>
      <c r="L8" s="201" t="str">
        <f>'Calculations - Case Temp 3'!E31</f>
        <v>α:</v>
      </c>
      <c r="M8" s="203" t="str">
        <f>IF(M6="","",'Calculations - Case Temp 3'!F31)</f>
        <v/>
      </c>
    </row>
    <row r="9" ht="15.75" spans="2:13">
      <c r="B9" s="184" t="s">
        <v>38</v>
      </c>
      <c r="C9" s="176" t="str">
        <f>IF(OR(C6="N/A",'TM-21 Inputs'!I34=""),"",IF(AND(C3&gt;0,C6&gt;0),(LN(C4)-LN(C7))/((1/C6)-(1/C3)),"error"))</f>
        <v/>
      </c>
      <c r="F9" s="180" t="str">
        <f>'Calculations - Case Temp 1'!E32</f>
        <v>B:</v>
      </c>
      <c r="G9" s="185">
        <f>IF(G6="","",'Calculations - Case Temp 1'!F32)</f>
        <v>0.980533497486781</v>
      </c>
      <c r="H9" s="183"/>
      <c r="I9" s="201" t="str">
        <f>'Calculations - Case Temp 2'!E32</f>
        <v>B:</v>
      </c>
      <c r="J9" s="185">
        <f>IF(J6="","",'Calculations - Case Temp 2'!F32)</f>
        <v>0.990536976377486</v>
      </c>
      <c r="K9" s="183"/>
      <c r="L9" s="201" t="str">
        <f>'Calculations - Case Temp 3'!E32</f>
        <v>B:</v>
      </c>
      <c r="M9" s="204" t="str">
        <f>IF(M6="","",'Calculations - Case Temp 3'!F32)</f>
        <v/>
      </c>
    </row>
    <row r="10" ht="15.75" spans="2:13">
      <c r="B10" s="186" t="s">
        <v>39</v>
      </c>
      <c r="C10" s="187">
        <f>8.6173*(10^-5)</f>
        <v>8.6173e-5</v>
      </c>
      <c r="F10" s="180" t="str">
        <f>'Calculations - Case Temp 1'!E33</f>
        <v>Calculated L90 (hrs):</v>
      </c>
      <c r="G10" s="188">
        <f>IF(G6="","",'Calculations - Case Temp 1'!F33)</f>
        <v>57000</v>
      </c>
      <c r="H10" s="183"/>
      <c r="I10" s="201" t="str">
        <f>'Calculations - Case Temp 2'!E33</f>
        <v>Calculated L90 (hrs):</v>
      </c>
      <c r="J10" s="188">
        <f>IF(J6="","",'Calculations - Case Temp 2'!F33)</f>
        <v>27000</v>
      </c>
      <c r="K10" s="183"/>
      <c r="L10" s="201" t="str">
        <f>'Calculations - Case Temp 3'!E33</f>
        <v>Calculated L90 (hrs):</v>
      </c>
      <c r="M10" s="205" t="str">
        <f>IF(M6="","",'Calculations - Case Temp 3'!F33)</f>
        <v/>
      </c>
    </row>
    <row r="11" ht="16.5" spans="2:13">
      <c r="B11" s="186" t="s">
        <v>40</v>
      </c>
      <c r="C11" s="187" t="str">
        <f>IF(OR(C6="N/A",'TM-21 Inputs'!I34=""),"",C9*C10)</f>
        <v/>
      </c>
      <c r="F11" s="189" t="str">
        <f>'Calculations - Case Temp 1'!E34</f>
        <v>Reported L90 (hrs):</v>
      </c>
      <c r="G11" s="190">
        <f>IF(G6="","",'Calculations - Case Temp 1'!F34)</f>
        <v>57000</v>
      </c>
      <c r="H11" s="191"/>
      <c r="I11" s="206" t="str">
        <f>'Calculations - Case Temp 2'!E34</f>
        <v>Reported L90 (hrs):</v>
      </c>
      <c r="J11" s="190">
        <f>IF(J6="","",'Calculations - Case Temp 2'!F34)</f>
        <v>27000</v>
      </c>
      <c r="K11" s="191"/>
      <c r="L11" s="206" t="str">
        <f>'Calculations - Case Temp 3'!E34</f>
        <v>Reported L90 (hrs):</v>
      </c>
      <c r="M11" s="207" t="str">
        <f>IF(M6="","",'Calculations - Case Temp 3'!F34)</f>
        <v/>
      </c>
    </row>
    <row r="12" spans="2:3">
      <c r="B12" s="186" t="s">
        <v>41</v>
      </c>
      <c r="C12" s="168" t="str">
        <f>IF(OR(C6="N/A",'TM-21 Inputs'!I34=""),"",IF('TM-21 Inputs'!I34="","",C4*EXP(C11/(C10*C3))))</f>
        <v/>
      </c>
    </row>
    <row r="13" ht="16.5" spans="2:3">
      <c r="B13" s="192" t="s">
        <v>42</v>
      </c>
      <c r="C13" s="172">
        <f>IF('TM-21 Inputs'!I34="","",IF(C6="N/A",C5,IF('TM-21 Inputs'!I34="","",SQRT(C5*C8))))</f>
        <v>0.980533497486781</v>
      </c>
    </row>
    <row r="14" ht="15.75" spans="2:9">
      <c r="B14" s="165" t="s">
        <v>43</v>
      </c>
      <c r="C14" s="193">
        <f>IF('TM-21 Inputs'!I34="","",'TM-21 Inputs'!I34+273.15)</f>
        <v>328.15</v>
      </c>
      <c r="I14" s="1" t="s">
        <v>44</v>
      </c>
    </row>
    <row r="15" ht="18.75" spans="2:3">
      <c r="B15" s="167" t="s">
        <v>45</v>
      </c>
      <c r="C15" s="168">
        <f>IF('TM-21 Inputs'!I34="","",IF(C6="N/A",C4,C12*(EXP(-C9/C14))))</f>
        <v>1.51203693346858e-6</v>
      </c>
    </row>
    <row r="16" spans="2:3">
      <c r="B16" s="186" t="str">
        <f>CONCATENATE("Calculated L",'TM-21 Inputs'!I35," (hrs):")</f>
        <v>Calculated L90 (hrs):</v>
      </c>
      <c r="C16" s="194">
        <f>IF('TM-21 Inputs'!I34="","",ROUND((LN(100*C13/'TM-21 Inputs'!I35)/C15),-3))</f>
        <v>57000</v>
      </c>
    </row>
    <row r="17" ht="14.25" spans="2:3">
      <c r="B17" s="192" t="str">
        <f>CONCATENATE("Reported L",'TM-21 Inputs'!I35," (hrs):")</f>
        <v>Reported L90 (hrs):</v>
      </c>
      <c r="C17" s="195">
        <f>IF(C16="","",IF(OR(AND('TM-21 Inputs'!$I$18&gt;=20,$C$16&lt;6*'TM-21 Inputs'!$I$19),AND('TM-21 Inputs'!$I$18&gt;=10,'TM-21 Inputs'!$I$18&lt;=19,$C$16&lt;5.5*'TM-21 Inputs'!$I$19)),ROUND(C16,-3),IF('TM-21 Inputs'!$I$18&gt;=20,CONCATENATE("&gt;",ROUND((6*'TM-21 Inputs'!$I$19),-3)),IF(AND('TM-21 Inputs'!$I$18&gt;=10,'TM-21 Inputs'!$I$18&lt;=19),CONCATENATE("&gt;",ROUND(5.5*'TM-21 Inputs'!$I$19,-3)),"error"))))</f>
        <v>57000</v>
      </c>
    </row>
  </sheetData>
  <sheetProtection password="C696" sheet="1" objects="1" scenarios="1"/>
  <mergeCells count="4">
    <mergeCell ref="F4:M4"/>
    <mergeCell ref="F5:G5"/>
    <mergeCell ref="I5:J5"/>
    <mergeCell ref="L5:M5"/>
  </mergeCells>
  <conditionalFormatting sqref="C3">
    <cfRule type="cellIs" dxfId="0" priority="1" operator="equal">
      <formula>"In situ case temp too high"</formula>
    </cfRule>
  </conditionalFormatting>
  <pageMargins left="0.7" right="0.7" top="0.75" bottom="0.75" header="0.3" footer="0.3"/>
  <pageSetup paperSize="1"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B1:L15"/>
  <sheetViews>
    <sheetView topLeftCell="J1" workbookViewId="0">
      <selection activeCell="K11" sqref="K11"/>
    </sheetView>
  </sheetViews>
  <sheetFormatPr defaultColWidth="9.10833333333333" defaultRowHeight="13.5"/>
  <cols>
    <col min="1" max="1" width="9.10833333333333" style="1" hidden="1" customWidth="1"/>
    <col min="2" max="2" width="37.8833333333333" style="1" hidden="1" customWidth="1"/>
    <col min="3" max="3" width="12" style="1" hidden="1" customWidth="1"/>
    <col min="4" max="4" width="9.10833333333333" style="1" hidden="1" customWidth="1"/>
    <col min="5" max="5" width="37.8833333333333" style="1" hidden="1" customWidth="1"/>
    <col min="6" max="6" width="12" style="1" hidden="1" customWidth="1"/>
    <col min="7" max="7" width="9.10833333333333" style="1" hidden="1" customWidth="1"/>
    <col min="8" max="8" width="37.8833333333333" style="1" hidden="1" customWidth="1"/>
    <col min="9" max="9" width="12" style="1" hidden="1" customWidth="1"/>
    <col min="10" max="10" width="9.10833333333333" style="1"/>
    <col min="11" max="11" width="19.4416666666667" style="1" customWidth="1"/>
    <col min="12" max="12" width="12" style="1" customWidth="1"/>
    <col min="13" max="16384" width="9.10833333333333" style="1"/>
  </cols>
  <sheetData>
    <row r="1" ht="14.25"/>
    <row r="2" ht="15.75" spans="2:12">
      <c r="B2" s="141" t="s">
        <v>46</v>
      </c>
      <c r="C2" s="142">
        <f>'TM-21 Inputs'!I16</f>
        <v>20</v>
      </c>
      <c r="E2" s="141" t="s">
        <v>46</v>
      </c>
      <c r="F2" s="142">
        <f>'TM-21 Inputs'!I16</f>
        <v>20</v>
      </c>
      <c r="H2" s="141" t="s">
        <v>46</v>
      </c>
      <c r="I2" s="142">
        <f>'TM-21 Inputs'!I16</f>
        <v>20</v>
      </c>
      <c r="K2" s="151" t="s">
        <v>47</v>
      </c>
      <c r="L2" s="152">
        <f>IFERROR('Product Inputs'!C3-273.15,"")</f>
        <v>55</v>
      </c>
    </row>
    <row r="3" ht="15.75" spans="2:12">
      <c r="B3" s="143" t="s">
        <v>48</v>
      </c>
      <c r="C3" s="144">
        <f>'TM-21 Inputs'!I17</f>
        <v>0</v>
      </c>
      <c r="E3" s="143" t="s">
        <v>48</v>
      </c>
      <c r="F3" s="144">
        <f>'TM-21 Inputs'!I17</f>
        <v>0</v>
      </c>
      <c r="H3" s="143" t="s">
        <v>48</v>
      </c>
      <c r="I3" s="144">
        <f>'TM-21 Inputs'!I17</f>
        <v>0</v>
      </c>
      <c r="K3" s="153" t="s">
        <v>49</v>
      </c>
      <c r="L3" s="154">
        <f>'Product Inputs'!C3</f>
        <v>328.15</v>
      </c>
    </row>
    <row r="4" ht="18.75" spans="2:12">
      <c r="B4" s="143" t="s">
        <v>50</v>
      </c>
      <c r="C4" s="144">
        <f>'TM-21 Inputs'!I18</f>
        <v>20</v>
      </c>
      <c r="E4" s="143" t="s">
        <v>50</v>
      </c>
      <c r="F4" s="144">
        <f>'TM-21 Inputs'!I18</f>
        <v>20</v>
      </c>
      <c r="H4" s="143" t="s">
        <v>50</v>
      </c>
      <c r="I4" s="144">
        <f>'TM-21 Inputs'!I18</f>
        <v>20</v>
      </c>
      <c r="K4" s="146" t="s">
        <v>27</v>
      </c>
      <c r="L4" s="155">
        <f>'Product Inputs'!C4</f>
        <v>1.51203693346858e-6</v>
      </c>
    </row>
    <row r="5" ht="27.75" spans="2:12">
      <c r="B5" s="143" t="s">
        <v>51</v>
      </c>
      <c r="C5" s="144">
        <f>'TM-21 Inputs'!I20</f>
        <v>150</v>
      </c>
      <c r="E5" s="143" t="s">
        <v>51</v>
      </c>
      <c r="F5" s="144">
        <f>'TM-21 Inputs'!I20</f>
        <v>150</v>
      </c>
      <c r="H5" s="143" t="s">
        <v>51</v>
      </c>
      <c r="I5" s="144">
        <f>'TM-21 Inputs'!I20</f>
        <v>150</v>
      </c>
      <c r="K5" s="156" t="s">
        <v>29</v>
      </c>
      <c r="L5" s="157">
        <f>'Product Inputs'!C5</f>
        <v>0.980533497486781</v>
      </c>
    </row>
    <row r="6" ht="15.75" spans="2:12">
      <c r="B6" s="143" t="s">
        <v>52</v>
      </c>
      <c r="C6" s="144">
        <f>'TM-21 Inputs'!I19</f>
        <v>12000</v>
      </c>
      <c r="E6" s="143" t="s">
        <v>52</v>
      </c>
      <c r="F6" s="144">
        <f>'TM-21 Inputs'!I19</f>
        <v>12000</v>
      </c>
      <c r="H6" s="143" t="s">
        <v>52</v>
      </c>
      <c r="I6" s="144" t="str">
        <f>IF(I8="","",'TM-21 Inputs'!I19)</f>
        <v/>
      </c>
      <c r="K6" s="151" t="s">
        <v>53</v>
      </c>
      <c r="L6" s="152" t="str">
        <f>IFERROR('Product Inputs'!C6-273.15,"")</f>
        <v/>
      </c>
    </row>
    <row r="7" ht="27" spans="2:12">
      <c r="B7" s="143" t="s">
        <v>54</v>
      </c>
      <c r="C7" s="145">
        <f>C6-MIN('Calculations - Case Temp 1'!E6:E25)</f>
        <v>6000</v>
      </c>
      <c r="E7" s="143" t="s">
        <v>54</v>
      </c>
      <c r="F7" s="145">
        <f>C6-MIN('Calculations - Case Temp 2'!E6:E25)</f>
        <v>6000</v>
      </c>
      <c r="H7" s="143" t="s">
        <v>54</v>
      </c>
      <c r="I7" s="145" t="str">
        <f>IF(I8="","",C6-MIN('Calculations - Case Temp 3'!E6:E25))</f>
        <v/>
      </c>
      <c r="K7" s="153" t="s">
        <v>55</v>
      </c>
      <c r="L7" s="154" t="str">
        <f>'Product Inputs'!C6</f>
        <v>N/A</v>
      </c>
    </row>
    <row r="8" ht="18.75" spans="2:12">
      <c r="B8" s="143" t="s">
        <v>56</v>
      </c>
      <c r="C8" s="144">
        <f>IF('TM-21 Inputs'!I21="","",'TM-21 Inputs'!I21)</f>
        <v>55</v>
      </c>
      <c r="E8" s="143" t="s">
        <v>56</v>
      </c>
      <c r="F8" s="144">
        <f>IF('TM-21 Inputs'!I22="","",'TM-21 Inputs'!I22)</f>
        <v>85</v>
      </c>
      <c r="H8" s="143" t="s">
        <v>56</v>
      </c>
      <c r="I8" s="144" t="str">
        <f>IF('TM-21 Inputs'!I23="","",'TM-21 Inputs'!I23)</f>
        <v/>
      </c>
      <c r="K8" s="146" t="s">
        <v>57</v>
      </c>
      <c r="L8" s="155" t="str">
        <f>'Product Inputs'!C7</f>
        <v>N/A</v>
      </c>
    </row>
    <row r="9" ht="16.5" spans="2:12">
      <c r="B9" s="146" t="s">
        <v>58</v>
      </c>
      <c r="C9" s="147">
        <f>'Calculations - Case Temp 1'!F31</f>
        <v>1.51203693346858e-6</v>
      </c>
      <c r="E9" s="146" t="s">
        <v>58</v>
      </c>
      <c r="F9" s="147">
        <f>'Calculations - Case Temp 2'!F31</f>
        <v>3.53194450347943e-6</v>
      </c>
      <c r="H9" s="146" t="s">
        <v>58</v>
      </c>
      <c r="I9" s="147" t="str">
        <f>IF(I8="","",'Calculations - Case Temp 3'!F31)</f>
        <v/>
      </c>
      <c r="K9" s="156" t="s">
        <v>37</v>
      </c>
      <c r="L9" s="157" t="str">
        <f>'Product Inputs'!C8</f>
        <v>N/A</v>
      </c>
    </row>
    <row r="10" ht="15.75" spans="2:12">
      <c r="B10" s="143" t="s">
        <v>59</v>
      </c>
      <c r="C10" s="147">
        <f>'Calculations - Case Temp 1'!F32</f>
        <v>0.980533497486781</v>
      </c>
      <c r="E10" s="143" t="s">
        <v>59</v>
      </c>
      <c r="F10" s="147">
        <f>'Calculations - Case Temp 2'!F32</f>
        <v>0.990536976377486</v>
      </c>
      <c r="H10" s="143" t="s">
        <v>59</v>
      </c>
      <c r="I10" s="147" t="str">
        <f>IF(I8="","",'Calculations - Case Temp 3'!F32)</f>
        <v/>
      </c>
      <c r="K10" s="151" t="s">
        <v>38</v>
      </c>
      <c r="L10" s="158" t="str">
        <f>'Product Inputs'!C9</f>
        <v/>
      </c>
    </row>
    <row r="11" spans="2:12">
      <c r="B11" s="143" t="str">
        <f>CONCATENATE("Calculated L",'TM-21 Inputs'!I35," (hrs):")</f>
        <v>Calculated L90 (hrs):</v>
      </c>
      <c r="C11" s="148">
        <f>'Calculations - Case Temp 1'!F33</f>
        <v>57000</v>
      </c>
      <c r="E11" s="143" t="str">
        <f>CONCATENATE("Calculated L",'TM-21 Inputs'!I35," (hrs):")</f>
        <v>Calculated L90 (hrs):</v>
      </c>
      <c r="F11" s="148">
        <f>'Calculations - Case Temp 2'!F33</f>
        <v>27000</v>
      </c>
      <c r="H11" s="143" t="str">
        <f>CONCATENATE("Calculated L",'TM-21 Inputs'!I35," (hrs):")</f>
        <v>Calculated L90 (hrs):</v>
      </c>
      <c r="I11" s="148" t="str">
        <f>IF(I8="","",'Calculations - Case Temp 3'!F33)</f>
        <v/>
      </c>
      <c r="K11" s="153" t="s">
        <v>41</v>
      </c>
      <c r="L11" s="157" t="str">
        <f>'Product Inputs'!C12</f>
        <v/>
      </c>
    </row>
    <row r="12" ht="16.5" spans="2:12">
      <c r="B12" s="149" t="str">
        <f>CONCATENATE("Reported L",'TM-21 Inputs'!I35," (hrs):")</f>
        <v>Reported L90 (hrs):</v>
      </c>
      <c r="C12" s="150">
        <f>'Calculations - Case Temp 1'!F34</f>
        <v>57000</v>
      </c>
      <c r="E12" s="149" t="str">
        <f>CONCATENATE("Reported L",'TM-21 Inputs'!I35," (hrs):")</f>
        <v>Reported L90 (hrs):</v>
      </c>
      <c r="F12" s="150">
        <f>'Calculations - Case Temp 2'!F34</f>
        <v>27000</v>
      </c>
      <c r="H12" s="149" t="str">
        <f>CONCATENATE("Reported L",'TM-21 Inputs'!I35," (hrs):")</f>
        <v>Reported L90 (hrs):</v>
      </c>
      <c r="I12" s="150" t="str">
        <f>IF(I8="","",'Calculations - Case Temp 3'!F34)</f>
        <v/>
      </c>
      <c r="K12" s="156" t="s">
        <v>42</v>
      </c>
      <c r="L12" s="159">
        <f>'Product Inputs'!C13</f>
        <v>0.980533497486781</v>
      </c>
    </row>
    <row r="13" ht="15.75" spans="11:12">
      <c r="K13" s="151" t="s">
        <v>60</v>
      </c>
      <c r="L13" s="142">
        <f>IF('Product Inputs'!C14="","",'Product Inputs'!C14-273.15)</f>
        <v>55</v>
      </c>
    </row>
    <row r="14" ht="15.75" spans="11:12">
      <c r="K14" s="153" t="s">
        <v>61</v>
      </c>
      <c r="L14" s="144">
        <f>'Product Inputs'!C14</f>
        <v>328.15</v>
      </c>
    </row>
    <row r="15" ht="19.5" spans="11:12">
      <c r="K15" s="160" t="s">
        <v>45</v>
      </c>
      <c r="L15" s="161">
        <f>'Product Inputs'!C15</f>
        <v>1.51203693346858e-6</v>
      </c>
    </row>
  </sheetData>
  <sheetProtection password="C696" sheet="1" objects="1" scenarios="1"/>
  <pageMargins left="0.7" right="0.7" top="0.75" bottom="0.75" header="0.3" footer="0.3"/>
  <pageSetup paperSize="1" orientation="portrait"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O32"/>
  <sheetViews>
    <sheetView zoomScale="90" zoomScaleNormal="90" workbookViewId="0">
      <selection activeCell="C9" sqref="C9:J9"/>
    </sheetView>
  </sheetViews>
  <sheetFormatPr defaultColWidth="9.10833333333333" defaultRowHeight="13.5"/>
  <cols>
    <col min="1" max="1" width="1.88333333333333" style="48" customWidth="1"/>
    <col min="2" max="2" width="2.55833333333333" style="48" customWidth="1"/>
    <col min="3" max="3" width="23" style="48" customWidth="1"/>
    <col min="4" max="4" width="13.5583333333333" style="48" customWidth="1"/>
    <col min="5" max="5" width="2.10833333333333" style="48" customWidth="1"/>
    <col min="6" max="6" width="23" style="48" customWidth="1"/>
    <col min="7" max="7" width="13.5583333333333" style="48" customWidth="1"/>
    <col min="8" max="8" width="2.10833333333333" style="48" customWidth="1"/>
    <col min="9" max="9" width="23" style="48" customWidth="1"/>
    <col min="10" max="10" width="13.5583333333333" style="48" customWidth="1"/>
    <col min="11" max="11" width="3.88333333333333" style="48" customWidth="1"/>
    <col min="12" max="12" width="17.4416666666667" style="48" customWidth="1"/>
    <col min="13" max="13" width="33.4416666666667" style="48" customWidth="1"/>
    <col min="14" max="14" width="2.44166666666667" style="48" customWidth="1"/>
    <col min="15" max="15" width="1.88333333333333" style="48" customWidth="1"/>
    <col min="16" max="16384" width="9.10833333333333" style="48"/>
  </cols>
  <sheetData>
    <row r="1" ht="11.25" customHeight="1" spans="1:15">
      <c r="A1" s="49"/>
      <c r="B1" s="49"/>
      <c r="C1" s="50"/>
      <c r="D1" s="50"/>
      <c r="E1" s="50"/>
      <c r="F1" s="50"/>
      <c r="G1" s="50"/>
      <c r="H1" s="50"/>
      <c r="I1" s="50"/>
      <c r="J1" s="50"/>
      <c r="K1" s="50"/>
      <c r="L1" s="50"/>
      <c r="M1" s="50"/>
      <c r="N1" s="50"/>
      <c r="O1" s="50"/>
    </row>
    <row r="2" ht="15" customHeight="1" spans="1:15">
      <c r="A2" s="49"/>
      <c r="B2" s="51" t="s">
        <v>62</v>
      </c>
      <c r="C2" s="51"/>
      <c r="D2" s="51"/>
      <c r="E2" s="51"/>
      <c r="F2" s="51"/>
      <c r="G2" s="51"/>
      <c r="H2" s="51"/>
      <c r="I2" s="51"/>
      <c r="J2" s="51"/>
      <c r="K2" s="51"/>
      <c r="L2" s="51"/>
      <c r="M2" s="51"/>
      <c r="N2" s="51"/>
      <c r="O2" s="50"/>
    </row>
    <row r="3" ht="15" customHeight="1" spans="1:15">
      <c r="A3" s="49"/>
      <c r="B3" s="51"/>
      <c r="C3" s="51"/>
      <c r="D3" s="51"/>
      <c r="E3" s="51"/>
      <c r="F3" s="51"/>
      <c r="G3" s="51"/>
      <c r="H3" s="51"/>
      <c r="I3" s="51"/>
      <c r="J3" s="51"/>
      <c r="K3" s="51"/>
      <c r="L3" s="51"/>
      <c r="M3" s="51"/>
      <c r="N3" s="51"/>
      <c r="O3" s="50"/>
    </row>
    <row r="4" ht="15" customHeight="1" spans="1:15">
      <c r="A4" s="49"/>
      <c r="B4" s="51"/>
      <c r="C4" s="51"/>
      <c r="D4" s="51"/>
      <c r="E4" s="51"/>
      <c r="F4" s="51"/>
      <c r="G4" s="51"/>
      <c r="H4" s="51"/>
      <c r="I4" s="51"/>
      <c r="J4" s="51"/>
      <c r="K4" s="51"/>
      <c r="L4" s="51"/>
      <c r="M4" s="51"/>
      <c r="N4" s="51"/>
      <c r="O4" s="50"/>
    </row>
    <row r="5" ht="12" customHeight="1" spans="1:15">
      <c r="A5" s="49"/>
      <c r="B5" s="51"/>
      <c r="C5" s="51"/>
      <c r="D5" s="51"/>
      <c r="E5" s="51"/>
      <c r="F5" s="51"/>
      <c r="G5" s="51"/>
      <c r="H5" s="51"/>
      <c r="I5" s="51"/>
      <c r="J5" s="51"/>
      <c r="K5" s="51"/>
      <c r="L5" s="51"/>
      <c r="M5" s="51"/>
      <c r="N5" s="51"/>
      <c r="O5" s="50"/>
    </row>
    <row r="6" ht="8.25" customHeight="1" spans="1:15">
      <c r="A6" s="49"/>
      <c r="B6" s="51"/>
      <c r="C6" s="51"/>
      <c r="D6" s="51"/>
      <c r="E6" s="51"/>
      <c r="F6" s="51"/>
      <c r="G6" s="51"/>
      <c r="H6" s="51"/>
      <c r="I6" s="51"/>
      <c r="J6" s="51"/>
      <c r="K6" s="51"/>
      <c r="L6" s="51"/>
      <c r="M6" s="51"/>
      <c r="N6" s="51"/>
      <c r="O6" s="50"/>
    </row>
    <row r="7" ht="10.5" customHeight="1" spans="1:15">
      <c r="A7" s="49"/>
      <c r="B7" s="50"/>
      <c r="C7" s="50"/>
      <c r="D7" s="50"/>
      <c r="E7" s="50"/>
      <c r="F7" s="50"/>
      <c r="G7" s="50"/>
      <c r="H7" s="50"/>
      <c r="I7" s="50"/>
      <c r="J7" s="50"/>
      <c r="K7" s="50"/>
      <c r="L7" s="50"/>
      <c r="M7" s="50"/>
      <c r="N7" s="50"/>
      <c r="O7" s="49"/>
    </row>
    <row r="8" ht="15" spans="1:15">
      <c r="A8" s="49"/>
      <c r="B8" s="52"/>
      <c r="C8" s="52"/>
      <c r="D8" s="52"/>
      <c r="E8" s="52"/>
      <c r="F8" s="52"/>
      <c r="G8" s="52"/>
      <c r="H8" s="52"/>
      <c r="I8" s="52"/>
      <c r="J8" s="52"/>
      <c r="K8" s="52"/>
      <c r="L8" s="52"/>
      <c r="M8" s="52"/>
      <c r="N8" s="52"/>
      <c r="O8" s="50"/>
    </row>
    <row r="9" ht="15.75" spans="1:15">
      <c r="A9" s="49"/>
      <c r="B9" s="52"/>
      <c r="C9" s="53" t="s">
        <v>28</v>
      </c>
      <c r="D9" s="54"/>
      <c r="E9" s="54"/>
      <c r="F9" s="54"/>
      <c r="G9" s="54"/>
      <c r="H9" s="54"/>
      <c r="I9" s="54"/>
      <c r="J9" s="103"/>
      <c r="K9" s="52"/>
      <c r="L9" s="104" t="s">
        <v>63</v>
      </c>
      <c r="M9" s="105"/>
      <c r="N9" s="52"/>
      <c r="O9" s="50"/>
    </row>
    <row r="10" ht="15" customHeight="1" spans="1:15">
      <c r="A10" s="49"/>
      <c r="B10" s="52"/>
      <c r="C10" s="55" t="s">
        <v>64</v>
      </c>
      <c r="D10" s="56"/>
      <c r="E10" s="57"/>
      <c r="F10" s="58" t="str">
        <f>IF('TM-21 Inputs'!H9="","",'TM-21 Inputs'!H9)</f>
        <v/>
      </c>
      <c r="G10" s="59"/>
      <c r="H10" s="59"/>
      <c r="I10" s="59"/>
      <c r="J10" s="106"/>
      <c r="K10" s="52"/>
      <c r="L10" s="107" t="s">
        <v>65</v>
      </c>
      <c r="M10" s="108"/>
      <c r="N10" s="52"/>
      <c r="O10" s="50"/>
    </row>
    <row r="11" ht="18.75" spans="1:15">
      <c r="A11" s="49"/>
      <c r="B11" s="52"/>
      <c r="C11" s="60"/>
      <c r="D11" s="61"/>
      <c r="E11" s="62"/>
      <c r="F11" s="63"/>
      <c r="G11" s="64"/>
      <c r="H11" s="64"/>
      <c r="I11" s="64"/>
      <c r="J11" s="109"/>
      <c r="K11" s="52"/>
      <c r="L11" s="110" t="s">
        <v>66</v>
      </c>
      <c r="M11" s="111">
        <f>IF('TM-21 Projection'!L2="","-",'TM-21 Projection'!L2)</f>
        <v>55</v>
      </c>
      <c r="N11" s="52"/>
      <c r="O11" s="50"/>
    </row>
    <row r="12" ht="28.5" customHeight="1" spans="1:15">
      <c r="A12" s="49"/>
      <c r="B12" s="52"/>
      <c r="C12" s="65"/>
      <c r="D12" s="66"/>
      <c r="E12" s="67"/>
      <c r="F12" s="68"/>
      <c r="G12" s="69"/>
      <c r="H12" s="69"/>
      <c r="I12" s="69"/>
      <c r="J12" s="112"/>
      <c r="K12" s="52"/>
      <c r="L12" s="113" t="s">
        <v>67</v>
      </c>
      <c r="M12" s="114">
        <f>IF(OR('TM-21 Projection'!L3="",'TM-21 Projection'!L3="In situ case temp too high"),"-",'TM-21 Projection'!L3)</f>
        <v>328.15</v>
      </c>
      <c r="N12" s="52"/>
      <c r="O12" s="50"/>
    </row>
    <row r="13" ht="19.5" spans="1:15">
      <c r="A13" s="49"/>
      <c r="B13" s="52"/>
      <c r="C13" s="70" t="str">
        <f>IF('TM-21 Inputs'!I21="","",CONCATENATE("Test Condition 1 - ",'TM-21 Inputs'!I21,"⁰C Case Temp"))</f>
        <v>Test Condition 1 - 55⁰C Case Temp</v>
      </c>
      <c r="D13" s="71"/>
      <c r="E13" s="72"/>
      <c r="F13" s="70" t="str">
        <f>IF('TM-21 Inputs'!I22="","",CONCATENATE("Test Condition 2 - ",'TM-21 Inputs'!I22,"⁰C Case Temp"))</f>
        <v>Test Condition 2 - 85⁰C Case Temp</v>
      </c>
      <c r="G13" s="71"/>
      <c r="H13" s="72"/>
      <c r="I13" s="70" t="str">
        <f>IF('TM-21 Inputs'!I23="","",CONCATENATE("Test Condition 3 - ",'TM-21 Inputs'!I23,"⁰C Case Temp"))</f>
        <v/>
      </c>
      <c r="J13" s="71"/>
      <c r="K13" s="52"/>
      <c r="L13" s="115" t="s">
        <v>68</v>
      </c>
      <c r="M13" s="116">
        <f>IF('TM-21 Projection'!L4="","-",'TM-21 Projection'!L4)</f>
        <v>1.51203693346858e-6</v>
      </c>
      <c r="N13" s="52"/>
      <c r="O13" s="50"/>
    </row>
    <row r="14" s="47" customFormat="1" ht="18.75" spans="1:15">
      <c r="A14" s="49"/>
      <c r="B14" s="73"/>
      <c r="C14" s="74" t="s">
        <v>69</v>
      </c>
      <c r="D14" s="75">
        <f>IF(OR('TM-21 Inputs'!$I$16="",C13=""),"-",'TM-21 Inputs'!$I$16)</f>
        <v>20</v>
      </c>
      <c r="E14" s="76"/>
      <c r="F14" s="74" t="str">
        <f>C14</f>
        <v>Sample size</v>
      </c>
      <c r="G14" s="75">
        <f>IF(OR('TM-21 Inputs'!$I$16="",F13=""),"-",'TM-21 Inputs'!$I$16)</f>
        <v>20</v>
      </c>
      <c r="H14" s="76"/>
      <c r="I14" s="74" t="str">
        <f>C14</f>
        <v>Sample size</v>
      </c>
      <c r="J14" s="75" t="str">
        <f>IF(OR('TM-21 Inputs'!$I$16="",I13=""),"-",'TM-21 Inputs'!$I$16)</f>
        <v>-</v>
      </c>
      <c r="K14" s="73"/>
      <c r="L14" s="117" t="s">
        <v>70</v>
      </c>
      <c r="M14" s="118">
        <f>IF('TM-21 Projection'!L5="","-",'TM-21 Projection'!L5)</f>
        <v>0.980533497486781</v>
      </c>
      <c r="N14" s="73"/>
      <c r="O14" s="50"/>
    </row>
    <row r="15" s="47" customFormat="1" ht="18.75" spans="1:15">
      <c r="A15" s="49"/>
      <c r="B15" s="73"/>
      <c r="C15" s="74" t="s">
        <v>71</v>
      </c>
      <c r="D15" s="75">
        <f>IF(OR('TM-21 Inputs'!$I$17="",C13=""),"-",'TM-21 Inputs'!$I$17)</f>
        <v>0</v>
      </c>
      <c r="E15" s="76"/>
      <c r="F15" s="74" t="str">
        <f t="shared" ref="F15:F21" si="0">C15</f>
        <v>Number of failures</v>
      </c>
      <c r="G15" s="75">
        <f>IF(OR('TM-21 Inputs'!$I$17="",F13=""),"-",'TM-21 Inputs'!$I$17)</f>
        <v>0</v>
      </c>
      <c r="H15" s="76"/>
      <c r="I15" s="74" t="str">
        <f t="shared" ref="I15:I21" si="1">C15</f>
        <v>Number of failures</v>
      </c>
      <c r="J15" s="75" t="str">
        <f>IF(OR('TM-21 Inputs'!$I$17="",I13=""),"-",'TM-21 Inputs'!$I$17)</f>
        <v>-</v>
      </c>
      <c r="K15" s="73"/>
      <c r="L15" s="119" t="s">
        <v>72</v>
      </c>
      <c r="M15" s="120" t="str">
        <f>IF('TM-21 Projection'!L6="","-",'TM-21 Projection'!L6)</f>
        <v>-</v>
      </c>
      <c r="N15" s="73"/>
      <c r="O15" s="50"/>
    </row>
    <row r="16" s="47" customFormat="1" ht="28.5" spans="1:15">
      <c r="A16" s="49"/>
      <c r="B16" s="73"/>
      <c r="C16" s="74" t="s">
        <v>73</v>
      </c>
      <c r="D16" s="75">
        <f>IF(OR('TM-21 Inputs'!$I$20="",C13=""),"-",'TM-21 Inputs'!$I$20)</f>
        <v>150</v>
      </c>
      <c r="E16" s="76"/>
      <c r="F16" s="74" t="str">
        <f t="shared" si="0"/>
        <v>DUT drive current used in the test (mA)</v>
      </c>
      <c r="G16" s="75">
        <f>IF(OR('TM-21 Inputs'!$I$20="",F13=""),"-",'TM-21 Inputs'!$I$20)</f>
        <v>150</v>
      </c>
      <c r="H16" s="76"/>
      <c r="I16" s="74" t="str">
        <f t="shared" si="1"/>
        <v>DUT drive current used in the test (mA)</v>
      </c>
      <c r="J16" s="75" t="str">
        <f>IF(OR('TM-21 Inputs'!$I$20="",I13=""),"-",'TM-21 Inputs'!$I$20)</f>
        <v>-</v>
      </c>
      <c r="K16" s="73"/>
      <c r="L16" s="113" t="s">
        <v>74</v>
      </c>
      <c r="M16" s="114" t="str">
        <f>IF(OR('TM-21 Projection'!L7="",'TM-21 Projection'!L7="N/A"),"-",'TM-21 Projection'!L7)</f>
        <v>-</v>
      </c>
      <c r="N16" s="73"/>
      <c r="O16" s="50"/>
    </row>
    <row r="17" s="47" customFormat="1" ht="18.75" spans="1:15">
      <c r="A17" s="49"/>
      <c r="B17" s="73"/>
      <c r="C17" s="74" t="s">
        <v>75</v>
      </c>
      <c r="D17" s="77">
        <f>IF(OR('TM-21 Inputs'!I19="",C13=""),"-",'TM-21 Inputs'!I19)</f>
        <v>12000</v>
      </c>
      <c r="E17" s="76"/>
      <c r="F17" s="74" t="str">
        <f t="shared" si="0"/>
        <v>Test duration (hours)</v>
      </c>
      <c r="G17" s="78">
        <f>IF(OR('TM-21 Inputs'!I19="",F13=""),"-",'TM-21 Inputs'!I19)</f>
        <v>12000</v>
      </c>
      <c r="H17" s="76"/>
      <c r="I17" s="74" t="str">
        <f t="shared" si="1"/>
        <v>Test duration (hours)</v>
      </c>
      <c r="J17" s="78" t="str">
        <f>IF(OR('TM-21 Inputs'!I19="",I13=""),"-",'TM-21 Inputs'!I19)</f>
        <v>-</v>
      </c>
      <c r="K17" s="73"/>
      <c r="L17" s="115" t="s">
        <v>76</v>
      </c>
      <c r="M17" s="116" t="str">
        <f>IF(OR('TM-21 Projection'!L8="",'TM-21 Projection'!L8="N/A"),"-",'TM-21 Projection'!L8)</f>
        <v>-</v>
      </c>
      <c r="N17" s="73"/>
      <c r="O17" s="50"/>
    </row>
    <row r="18" s="47" customFormat="1" ht="36" customHeight="1" spans="1:15">
      <c r="A18" s="49"/>
      <c r="B18" s="79"/>
      <c r="C18" s="80" t="s">
        <v>77</v>
      </c>
      <c r="D18" s="81" t="str">
        <f>IF(OR('TM-21 Inputs'!I19="",C13=""),"-",IF(SUM('Calculations - Case Temp 1'!E6:E25)=0,"-",CONCATENATE(TEXT(MIN('Calculations - Case Temp 1'!E6:E25),"#,##0")," - ",TEXT(MAX('Calculations - Case Temp 1'!E6:E25),"#,##0"))))</f>
        <v>6,000 - 12,000</v>
      </c>
      <c r="E18" s="82"/>
      <c r="F18" s="80" t="str">
        <f t="shared" si="0"/>
        <v>Test duration used for projection (hour to hour)</v>
      </c>
      <c r="G18" s="83" t="str">
        <f>IF(OR('TM-21 Inputs'!I19="",F13=""),"-",IF(SUM('Calculations - Case Temp 1'!E6:E25)=0,"-",CONCATENATE(TEXT(MIN('Calculations - Case Temp 1'!E6:E25),"#,##0")," - ",TEXT(MAX('Calculations - Case Temp 1'!E6:E25),"#,##0"))))</f>
        <v>6,000 - 12,000</v>
      </c>
      <c r="H18" s="82"/>
      <c r="I18" s="80" t="str">
        <f t="shared" si="1"/>
        <v>Test duration used for projection (hour to hour)</v>
      </c>
      <c r="J18" s="83" t="str">
        <f>IF(OR('TM-21 Inputs'!I19="",I13=""),"-",IF(SUM('Calculations - Case Temp 1'!E6:E25)=0,"-",CONCATENATE(TEXT(MIN('Calculations - Case Temp 1'!E6:E25),"#,##0")," - ",TEXT(MAX('Calculations - Case Temp 1'!E6:E25),"#,##0"))))</f>
        <v>-</v>
      </c>
      <c r="K18" s="73"/>
      <c r="L18" s="121" t="s">
        <v>78</v>
      </c>
      <c r="M18" s="122" t="str">
        <f>IF(OR('TM-21 Projection'!L9="",'TM-21 Projection'!L9="N/A"),"-",'TM-21 Projection'!L9)</f>
        <v>-</v>
      </c>
      <c r="N18" s="73"/>
      <c r="O18" s="50"/>
    </row>
    <row r="19" s="47" customFormat="1" ht="28.5" spans="1:15">
      <c r="A19" s="49"/>
      <c r="B19" s="73"/>
      <c r="C19" s="74" t="s">
        <v>79</v>
      </c>
      <c r="D19" s="84">
        <f>IF('Product Inputs'!G6="","-",'Product Inputs'!G6)</f>
        <v>55</v>
      </c>
      <c r="E19" s="76"/>
      <c r="F19" s="74" t="str">
        <f t="shared" si="0"/>
        <v>Tested case temperature (⁰C)</v>
      </c>
      <c r="G19" s="84">
        <f>IF('Product Inputs'!J6="","-",'Product Inputs'!J6)</f>
        <v>85</v>
      </c>
      <c r="H19" s="76"/>
      <c r="I19" s="74" t="str">
        <f t="shared" si="1"/>
        <v>Tested case temperature (⁰C)</v>
      </c>
      <c r="J19" s="84" t="str">
        <f>IF('Product Inputs'!M6="","-",'Product Inputs'!M6)</f>
        <v>-</v>
      </c>
      <c r="K19" s="73"/>
      <c r="L19" s="119" t="s">
        <v>80</v>
      </c>
      <c r="M19" s="123" t="str">
        <f>IF(OR(M13&lt;0,M17&lt;0),"-",IF('TM-21 Projection'!L10="","-",'TM-21 Projection'!L10))</f>
        <v>-</v>
      </c>
      <c r="N19" s="73"/>
      <c r="O19" s="50"/>
    </row>
    <row r="20" s="47" customFormat="1" ht="14.25" spans="1:15">
      <c r="A20" s="49"/>
      <c r="B20" s="73"/>
      <c r="C20" s="74" t="s">
        <v>81</v>
      </c>
      <c r="D20" s="85">
        <f>IF('Product Inputs'!G8="","-",'Product Inputs'!G8)</f>
        <v>1.51203693346858e-6</v>
      </c>
      <c r="E20" s="76"/>
      <c r="F20" s="74" t="str">
        <f t="shared" si="0"/>
        <v>α</v>
      </c>
      <c r="G20" s="85">
        <f>IF('Product Inputs'!J8="","-",'Product Inputs'!J8)</f>
        <v>3.53194450347943e-6</v>
      </c>
      <c r="H20" s="76"/>
      <c r="I20" s="74" t="str">
        <f t="shared" si="1"/>
        <v>α</v>
      </c>
      <c r="J20" s="85" t="str">
        <f>IF('Product Inputs'!M8="","-",'Product Inputs'!M8)</f>
        <v>-</v>
      </c>
      <c r="K20" s="73"/>
      <c r="L20" s="113" t="s">
        <v>41</v>
      </c>
      <c r="M20" s="116" t="str">
        <f>IF(OR(M13&lt;0,M17&lt;0),"-",IF('TM-21 Projection'!L11="","-",'TM-21 Projection'!L11))</f>
        <v>-</v>
      </c>
      <c r="N20" s="73"/>
      <c r="O20" s="50"/>
    </row>
    <row r="21" s="47" customFormat="1" ht="19.5" spans="1:15">
      <c r="A21" s="49"/>
      <c r="B21" s="73"/>
      <c r="C21" s="86" t="s">
        <v>82</v>
      </c>
      <c r="D21" s="87">
        <f>IF('Product Inputs'!G9="","-",'Product Inputs'!G9)</f>
        <v>0.980533497486781</v>
      </c>
      <c r="E21" s="76"/>
      <c r="F21" s="86" t="str">
        <f t="shared" si="0"/>
        <v>B</v>
      </c>
      <c r="G21" s="87">
        <f>IF('Product Inputs'!J9="","-",'Product Inputs'!J9)</f>
        <v>0.990536976377486</v>
      </c>
      <c r="H21" s="76"/>
      <c r="I21" s="86" t="str">
        <f t="shared" si="1"/>
        <v>B</v>
      </c>
      <c r="J21" s="87" t="str">
        <f>IF('Product Inputs'!M9="","-",'Product Inputs'!M9)</f>
        <v>-</v>
      </c>
      <c r="K21" s="73"/>
      <c r="L21" s="121" t="s">
        <v>83</v>
      </c>
      <c r="M21" s="122">
        <f>IF('TM-21 Projection'!L12="","-",'TM-21 Projection'!L12)</f>
        <v>0.980533497486781</v>
      </c>
      <c r="N21" s="73"/>
      <c r="O21" s="50"/>
    </row>
    <row r="22" s="47" customFormat="1" ht="28.5" spans="1:15">
      <c r="A22" s="49"/>
      <c r="B22" s="73"/>
      <c r="C22" s="88" t="str">
        <f>IF('TM-21 Inputs'!I19="","Calculated L70(Dk) (hours)",CONCATENATE("Calculated L70(",ROUND('TM-21 Inputs'!I19/1000,0),"k) (hours)"))</f>
        <v>Calculated L70(12k) (hours)</v>
      </c>
      <c r="D22" s="89">
        <f>IF('Product Inputs'!G10="","-",ROUND('Product Inputs'!G10,-3))</f>
        <v>57000</v>
      </c>
      <c r="E22" s="76"/>
      <c r="F22" s="88" t="str">
        <f>IF('TM-21 Inputs'!I19="","Calculated L70(Dk) (hours)",CONCATENATE("Calculated L70(",ROUND('TM-21 Inputs'!I19/1000,0),"k) (hours)"))</f>
        <v>Calculated L70(12k) (hours)</v>
      </c>
      <c r="G22" s="89">
        <f>IF('Product Inputs'!J10="","-",ROUND('Product Inputs'!J10,-3))</f>
        <v>27000</v>
      </c>
      <c r="H22" s="76"/>
      <c r="I22" s="88" t="str">
        <f>IF('TM-21 Inputs'!I19="","Calculated L70(Dk) (hours)",CONCATENATE("Calculated L70(",ROUND('TM-21 Inputs'!I19/1000,0),"k) (hours)"))</f>
        <v>Calculated L70(12k) (hours)</v>
      </c>
      <c r="J22" s="89" t="str">
        <f>IF('Product Inputs'!M10="","-",ROUND('Product Inputs'!M10,-3))</f>
        <v>-</v>
      </c>
      <c r="K22" s="73"/>
      <c r="L22" s="110" t="s">
        <v>84</v>
      </c>
      <c r="M22" s="111">
        <f>IF('TM-21 Projection'!L13="","-",'TM-21 Projection'!L13)</f>
        <v>55</v>
      </c>
      <c r="N22" s="73"/>
      <c r="O22" s="50"/>
    </row>
    <row r="23" s="47" customFormat="1" ht="19.5" spans="1:15">
      <c r="A23" s="49"/>
      <c r="B23" s="73"/>
      <c r="C23" s="90" t="str">
        <f>IF('TM-21 Inputs'!I19="","Reported L70(Dk) (hours)",CONCATENATE("Reported L70(",ROUND('TM-21 Inputs'!I19/1000,0),"k) (hours)"))</f>
        <v>Reported L70(12k) (hours)</v>
      </c>
      <c r="D23" s="91">
        <f>IF('Product Inputs'!G11="","-",'Product Inputs'!G11)</f>
        <v>57000</v>
      </c>
      <c r="E23" s="76"/>
      <c r="F23" s="90" t="str">
        <f>IF('TM-21 Inputs'!I19="","Reported L70(Dk) (hours)",CONCATENATE("Reported L70(",ROUND('TM-21 Inputs'!I19/1000,0),"k) (hours)"))</f>
        <v>Reported L70(12k) (hours)</v>
      </c>
      <c r="G23" s="91">
        <f>IF('Product Inputs'!J11="","-",'Product Inputs'!J11)</f>
        <v>27000</v>
      </c>
      <c r="H23" s="76"/>
      <c r="I23" s="90" t="str">
        <f>IF('TM-21 Inputs'!I19="","Reported L70(Dk) (hours)",CONCATENATE("Reported L70(",ROUND('TM-21 Inputs'!I19/1000,0),"k) (hours)"))</f>
        <v>Reported L70(12k) (hours)</v>
      </c>
      <c r="J23" s="91" t="str">
        <f>IF('Product Inputs'!M11="","-",'Product Inputs'!M11)</f>
        <v>-</v>
      </c>
      <c r="K23" s="73"/>
      <c r="L23" s="113" t="s">
        <v>85</v>
      </c>
      <c r="M23" s="124">
        <f>IF('TM-21 Projection'!L14="","-",'TM-21 Projection'!L14)</f>
        <v>328.15</v>
      </c>
      <c r="N23" s="73"/>
      <c r="O23" s="50"/>
    </row>
    <row r="24" s="47" customFormat="1" ht="19.5" spans="1:15">
      <c r="A24" s="49"/>
      <c r="B24" s="73"/>
      <c r="C24" s="92"/>
      <c r="D24" s="92"/>
      <c r="E24" s="93"/>
      <c r="F24" s="92"/>
      <c r="G24" s="94"/>
      <c r="H24" s="93"/>
      <c r="I24" s="92"/>
      <c r="J24" s="94"/>
      <c r="K24" s="73"/>
      <c r="L24" s="125" t="s">
        <v>86</v>
      </c>
      <c r="M24" s="126">
        <f>IF(OR(M13&lt;0,M17&lt;0),"-",IF('TM-21 Projection'!L15="","-",'TM-21 Projection'!L15))</f>
        <v>1.51203693346858e-6</v>
      </c>
      <c r="N24" s="73"/>
      <c r="O24" s="50"/>
    </row>
    <row r="25" s="47" customFormat="1" ht="28.5" customHeight="1" spans="1:15">
      <c r="A25" s="49"/>
      <c r="B25" s="73"/>
      <c r="C25" s="95" t="str">
        <f>IF(OR(M13&lt;0,M17&lt;0),"One or more of the tests resulted in negative L70 values. Please refer to sections 5.2.5 and 6.4 of IES TM-21-11 for instructions on how to estimate the reported lumen maintenance life (L70).","")</f>
        <v/>
      </c>
      <c r="D25" s="95"/>
      <c r="E25" s="95"/>
      <c r="F25" s="95"/>
      <c r="G25" s="95"/>
      <c r="H25" s="95"/>
      <c r="I25" s="95"/>
      <c r="J25" s="95"/>
      <c r="K25" s="73"/>
      <c r="L25" s="127" t="str">
        <f>IF(OR('TM-21 Inputs'!I19="",'TM-21 Inputs'!I34=""),"Projected L70(Dk) (hours)",CONCATENATE("Projected L70(",ROUND('TM-21 Inputs'!I19/1000,0),"k) at ",'TM-21 Inputs'!I34,"⁰C (hours)"))</f>
        <v>Projected L70(12k) at 55⁰C (hours)</v>
      </c>
      <c r="M25" s="128">
        <f>IF('TM-21 Inputs'!I42="","-",ROUND('TM-21 Inputs'!I42,-3))</f>
        <v>57000</v>
      </c>
      <c r="N25" s="73"/>
      <c r="O25" s="50"/>
    </row>
    <row r="26" ht="30.75" customHeight="1" spans="1:15">
      <c r="A26" s="49"/>
      <c r="B26" s="52"/>
      <c r="C26" s="52"/>
      <c r="D26" s="52"/>
      <c r="E26" s="52"/>
      <c r="F26" s="52"/>
      <c r="G26" s="52"/>
      <c r="H26" s="52"/>
      <c r="I26" s="52"/>
      <c r="J26" s="52"/>
      <c r="K26" s="52"/>
      <c r="L26" s="129" t="str">
        <f>IF(OR('TM-21 Inputs'!I19="",'TM-21 Inputs'!I34=""),"Reported L70(Dk) (hours)",CONCATENATE("Reported L70(",ROUND('TM-21 Inputs'!I19/1000,0),"k) at ",'TM-21 Inputs'!I34,"⁰C (hours)"))</f>
        <v>Reported L70(12k) at 55⁰C (hours)</v>
      </c>
      <c r="M26" s="130">
        <f>IF('TM-21 Inputs'!I43="","-",'TM-21 Inputs'!I43)</f>
        <v>57000</v>
      </c>
      <c r="N26" s="52"/>
      <c r="O26" s="50"/>
    </row>
    <row r="27" ht="9" customHeight="1" spans="1:15">
      <c r="A27" s="49"/>
      <c r="B27" s="52"/>
      <c r="C27" s="52"/>
      <c r="D27" s="52"/>
      <c r="E27" s="52"/>
      <c r="F27" s="52"/>
      <c r="G27" s="52"/>
      <c r="H27" s="52"/>
      <c r="I27" s="52"/>
      <c r="J27" s="52"/>
      <c r="K27" s="52"/>
      <c r="L27" s="52"/>
      <c r="M27" s="52"/>
      <c r="N27" s="52"/>
      <c r="O27" s="50"/>
    </row>
    <row r="28" ht="11.25" customHeight="1" spans="1:15">
      <c r="A28" s="49"/>
      <c r="B28" s="49"/>
      <c r="C28" s="49"/>
      <c r="D28" s="49"/>
      <c r="E28" s="49"/>
      <c r="F28" s="49"/>
      <c r="G28" s="49"/>
      <c r="H28" s="49"/>
      <c r="I28" s="49"/>
      <c r="J28" s="49"/>
      <c r="K28" s="49"/>
      <c r="L28" s="49"/>
      <c r="M28" s="49"/>
      <c r="N28" s="49"/>
      <c r="O28" s="49"/>
    </row>
    <row r="29" ht="14.25" spans="3:3">
      <c r="C29" s="96"/>
    </row>
    <row r="30" ht="30.75" customHeight="1" spans="4:13">
      <c r="D30" s="97"/>
      <c r="F30" s="98" t="s">
        <v>87</v>
      </c>
      <c r="G30" s="99"/>
      <c r="H30" s="100"/>
      <c r="I30" s="131"/>
      <c r="J30" s="132" t="s">
        <v>88</v>
      </c>
      <c r="K30" s="133"/>
      <c r="L30" s="133"/>
      <c r="M30" s="134"/>
    </row>
    <row r="31" ht="31.5" customHeight="1" spans="6:13">
      <c r="F31" s="98" t="s">
        <v>89</v>
      </c>
      <c r="G31" s="99"/>
      <c r="H31" s="100"/>
      <c r="I31" s="131"/>
      <c r="J31" s="135"/>
      <c r="K31" s="136"/>
      <c r="L31" s="136"/>
      <c r="M31" s="137"/>
    </row>
    <row r="32" ht="15" spans="6:13">
      <c r="F32" s="101" t="s">
        <v>90</v>
      </c>
      <c r="G32" s="102"/>
      <c r="H32" s="100"/>
      <c r="I32" s="131"/>
      <c r="J32" s="138"/>
      <c r="K32" s="139"/>
      <c r="L32" s="139"/>
      <c r="M32" s="140"/>
    </row>
  </sheetData>
  <sheetProtection password="C696" sheet="1" objects="1" scenarios="1"/>
  <mergeCells count="14">
    <mergeCell ref="C9:J9"/>
    <mergeCell ref="L9:M9"/>
    <mergeCell ref="L10:M10"/>
    <mergeCell ref="C13:D13"/>
    <mergeCell ref="F13:G13"/>
    <mergeCell ref="I13:J13"/>
    <mergeCell ref="C25:J25"/>
    <mergeCell ref="F30:I30"/>
    <mergeCell ref="F31:I31"/>
    <mergeCell ref="F32:I32"/>
    <mergeCell ref="J30:M32"/>
    <mergeCell ref="B2:N6"/>
    <mergeCell ref="C10:E12"/>
    <mergeCell ref="F10:J12"/>
  </mergeCells>
  <pageMargins left="0.7" right="0.7" top="0.75" bottom="0.75" header="0.3" footer="0.3"/>
  <pageSetup paperSize="1" scale="65" orientation="landscape" horizontalDpi="300" verticalDpi="30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C000"/>
  </sheetPr>
  <dimension ref="A1"/>
  <sheetViews>
    <sheetView workbookViewId="0">
      <selection activeCell="M34" sqref="M34"/>
    </sheetView>
  </sheetViews>
  <sheetFormatPr defaultColWidth="9" defaultRowHeight="13.5"/>
  <sheetData/>
  <sheetProtection password="C696" sheet="1" objects="1" scenarios="1"/>
  <pageMargins left="0.7" right="0.7" top="0.75" bottom="0.75" header="0.3" footer="0.3"/>
  <pageSetup paperSize="1"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FFC000"/>
  </sheetPr>
  <dimension ref="D3:M34"/>
  <sheetViews>
    <sheetView topLeftCell="B2" workbookViewId="0">
      <selection activeCell="E17" sqref="E17"/>
    </sheetView>
  </sheetViews>
  <sheetFormatPr defaultColWidth="9.10833333333333" defaultRowHeight="13.5"/>
  <cols>
    <col min="1" max="1" width="17" style="1" customWidth="1"/>
    <col min="2" max="3" width="9.10833333333333" style="1"/>
    <col min="4" max="4" width="6.44166666666667" style="1" customWidth="1"/>
    <col min="5" max="5" width="12.8833333333333" style="1" customWidth="1"/>
    <col min="6" max="6" width="17.8833333333333" style="1" customWidth="1"/>
    <col min="7" max="7" width="27.4416666666667" style="1" customWidth="1"/>
    <col min="8" max="8" width="12.4416666666667" style="1" customWidth="1"/>
    <col min="9" max="9" width="11.1083333333333" style="1" customWidth="1"/>
    <col min="10" max="11" width="9.10833333333333" style="1"/>
    <col min="12" max="12" width="20.4416666666667" style="1" customWidth="1"/>
    <col min="13" max="16384" width="9.10833333333333" style="1"/>
  </cols>
  <sheetData>
    <row r="3" ht="14.25"/>
    <row r="4" ht="15" customHeight="1" spans="4:10">
      <c r="D4" s="2" t="str">
        <f>IF('TM-21 Inputs'!I21="","Insert Case Temperature 1",CONCATENATE("Test Data for ",'TM-21 Inputs'!I21,"⁰C Case Temperature"))</f>
        <v>Test Data for 55⁰C Case Temperature</v>
      </c>
      <c r="E4" s="3"/>
      <c r="F4" s="3"/>
      <c r="G4" s="3"/>
      <c r="H4" s="3"/>
      <c r="I4" s="3"/>
      <c r="J4" s="27"/>
    </row>
    <row r="5" ht="60" customHeight="1" spans="4:10">
      <c r="D5" s="4" t="s">
        <v>91</v>
      </c>
      <c r="E5" s="5" t="s">
        <v>92</v>
      </c>
      <c r="F5" s="6" t="s">
        <v>93</v>
      </c>
      <c r="G5" s="6" t="s">
        <v>94</v>
      </c>
      <c r="H5" s="6" t="s">
        <v>95</v>
      </c>
      <c r="I5" s="6" t="s">
        <v>96</v>
      </c>
      <c r="J5" s="37" t="s">
        <v>97</v>
      </c>
    </row>
    <row r="6" spans="4:13">
      <c r="D6" s="7" t="str">
        <f>IF(E6="","",'TM-21 Inputs'!#REF!)</f>
        <v/>
      </c>
      <c r="E6" s="13" t="str">
        <f>IF(OR('TM-21 Inputs'!$I$19="",'TM-21 Inputs'!$I$21=""),"-",IF(OR('TM-21 Inputs'!K10="",'TM-21 Inputs'!L10=""),"",IF(OR(AND('TM-21 Inputs'!$I$19&gt;=6000,'TM-21 Inputs'!$I$19&lt;=10000,'TM-21 Inputs'!K10&gt;='TM-21 Inputs'!$I$19-5000),AND('TM-21 Inputs'!$I$19&gt;10000,OR('TM-21 Inputs'!K10&gt;=0.5*'TM-21 Inputs'!$I$19,'TM-21 Inputs'!K10=SMALL('TM-21 Inputs'!$K$10:$K$29,COUNTIF('TM-21 Inputs'!$K$10:$K$29,"&lt;"&amp;(0.5*'TM-21 Inputs'!$I$19)+1))))),'TM-21 Inputs'!K10,"")))</f>
        <v/>
      </c>
      <c r="F6" s="9" t="str">
        <f>IF(E6="","",'TM-21 Inputs'!L10)</f>
        <v/>
      </c>
      <c r="G6" s="10" t="str">
        <f>IF(F6="","",LN(F6))</f>
        <v/>
      </c>
      <c r="H6" s="11" t="str">
        <f>IF(E6="","",(G6*E6))</f>
        <v/>
      </c>
      <c r="I6" s="38" t="str">
        <f>IF(E6="","",E6^2)</f>
        <v/>
      </c>
      <c r="J6" s="39" t="str">
        <f>IF(E6="","",E6*G6)</f>
        <v/>
      </c>
      <c r="M6" s="46"/>
    </row>
    <row r="7" spans="4:10">
      <c r="D7" s="12" t="str">
        <f>IF(E7="","",'TM-21 Inputs'!#REF!)</f>
        <v/>
      </c>
      <c r="E7" s="13" t="str">
        <f>IF(OR('TM-21 Inputs'!$I$19="",'TM-21 Inputs'!$I$21=""),"-",IF(OR('TM-21 Inputs'!K11="",'TM-21 Inputs'!L11=""),"",IF(OR(AND('TM-21 Inputs'!$I$19&gt;=6000,'TM-21 Inputs'!$I$19&lt;=10000,'TM-21 Inputs'!K11&gt;='TM-21 Inputs'!$I$19-5000),AND('TM-21 Inputs'!$I$19&gt;10000,OR('TM-21 Inputs'!K11&gt;=0.5*'TM-21 Inputs'!$I$19,'TM-21 Inputs'!K11=SMALL('TM-21 Inputs'!$K$10:$K$29,COUNTIF('TM-21 Inputs'!$K$10:$K$29,"&lt;"&amp;(0.5*'TM-21 Inputs'!$I$19)+1))))),'TM-21 Inputs'!K11,"")))</f>
        <v/>
      </c>
      <c r="F7" s="14" t="str">
        <f>IF(E7="","",'TM-21 Inputs'!L11)</f>
        <v/>
      </c>
      <c r="G7" s="15" t="str">
        <f t="shared" ref="G7:G25" si="0">IF(F7="","",LN(F7))</f>
        <v/>
      </c>
      <c r="H7" s="16" t="str">
        <f t="shared" ref="H7:H25" si="1">IF(E7="","",(G7*E7))</f>
        <v/>
      </c>
      <c r="I7" s="40" t="str">
        <f t="shared" ref="I7:I25" si="2">IF(E7="","",E7^2)</f>
        <v/>
      </c>
      <c r="J7" s="41" t="str">
        <f t="shared" ref="J7:J25" si="3">IF(E7="","",E7*G7)</f>
        <v/>
      </c>
    </row>
    <row r="8" spans="4:10">
      <c r="D8" s="12" t="str">
        <f>IF(E8="","",'TM-21 Inputs'!#REF!)</f>
        <v/>
      </c>
      <c r="E8" s="13" t="str">
        <f>IF(OR('TM-21 Inputs'!$I$19="",'TM-21 Inputs'!$I$21=""),"-",IF(OR('TM-21 Inputs'!K12="",'TM-21 Inputs'!L12=""),"",IF(OR(AND('TM-21 Inputs'!$I$19&gt;=6000,'TM-21 Inputs'!$I$19&lt;=10000,'TM-21 Inputs'!K12&gt;='TM-21 Inputs'!$I$19-5000),AND('TM-21 Inputs'!$I$19&gt;10000,OR('TM-21 Inputs'!K12&gt;=0.5*'TM-21 Inputs'!$I$19,'TM-21 Inputs'!K12=SMALL('TM-21 Inputs'!$K$10:$K$29,COUNTIF('TM-21 Inputs'!$K$10:$K$29,"&lt;"&amp;(0.5*'TM-21 Inputs'!$I$19)+1))))),'TM-21 Inputs'!K12,"")))</f>
        <v/>
      </c>
      <c r="F8" s="14" t="str">
        <f>IF(E8="","",'TM-21 Inputs'!L12)</f>
        <v/>
      </c>
      <c r="G8" s="15" t="str">
        <f t="shared" si="0"/>
        <v/>
      </c>
      <c r="H8" s="16" t="str">
        <f t="shared" si="1"/>
        <v/>
      </c>
      <c r="I8" s="40" t="str">
        <f t="shared" si="2"/>
        <v/>
      </c>
      <c r="J8" s="41" t="str">
        <f t="shared" si="3"/>
        <v/>
      </c>
    </row>
    <row r="9" spans="4:10">
      <c r="D9" s="12" t="str">
        <f>IF(E9="","",'TM-21 Inputs'!#REF!)</f>
        <v/>
      </c>
      <c r="E9" s="13" t="str">
        <f>IF(OR('TM-21 Inputs'!$I$19="",'TM-21 Inputs'!$I$21=""),"-",IF(OR('TM-21 Inputs'!K13="",'TM-21 Inputs'!L13=""),"",IF(OR(AND('TM-21 Inputs'!$I$19&gt;=6000,'TM-21 Inputs'!$I$19&lt;=10000,'TM-21 Inputs'!K13&gt;='TM-21 Inputs'!$I$19-5000),AND('TM-21 Inputs'!$I$19&gt;10000,OR('TM-21 Inputs'!K13&gt;=0.5*'TM-21 Inputs'!$I$19,'TM-21 Inputs'!K13=SMALL('TM-21 Inputs'!$K$10:$K$29,COUNTIF('TM-21 Inputs'!$K$10:$K$29,"&lt;"&amp;(0.5*'TM-21 Inputs'!$I$19)+1))))),'TM-21 Inputs'!K13,"")))</f>
        <v/>
      </c>
      <c r="F9" s="14" t="str">
        <f>IF(E9="","",'TM-21 Inputs'!L13)</f>
        <v/>
      </c>
      <c r="G9" s="15" t="str">
        <f t="shared" si="0"/>
        <v/>
      </c>
      <c r="H9" s="16" t="str">
        <f t="shared" si="1"/>
        <v/>
      </c>
      <c r="I9" s="40" t="str">
        <f t="shared" si="2"/>
        <v/>
      </c>
      <c r="J9" s="41" t="str">
        <f t="shared" si="3"/>
        <v/>
      </c>
    </row>
    <row r="10" spans="4:10">
      <c r="D10" s="12" t="str">
        <f>IF(E10="","",'TM-21 Inputs'!#REF!)</f>
        <v/>
      </c>
      <c r="E10" s="13" t="str">
        <f>IF(OR('TM-21 Inputs'!$I$19="",'TM-21 Inputs'!$I$21=""),"-",IF(OR('TM-21 Inputs'!K14="",'TM-21 Inputs'!L14=""),"",IF(OR(AND('TM-21 Inputs'!$I$19&gt;=6000,'TM-21 Inputs'!$I$19&lt;=10000,'TM-21 Inputs'!K14&gt;='TM-21 Inputs'!$I$19-5000),AND('TM-21 Inputs'!$I$19&gt;10000,OR('TM-21 Inputs'!K14&gt;=0.5*'TM-21 Inputs'!$I$19,'TM-21 Inputs'!K14=SMALL('TM-21 Inputs'!$K$10:$K$29,COUNTIF('TM-21 Inputs'!$K$10:$K$29,"&lt;"&amp;(0.5*'TM-21 Inputs'!$I$19)+1))))),'TM-21 Inputs'!K14,"")))</f>
        <v/>
      </c>
      <c r="F10" s="14" t="str">
        <f>IF(E10="","",'TM-21 Inputs'!L14)</f>
        <v/>
      </c>
      <c r="G10" s="15" t="str">
        <f t="shared" si="0"/>
        <v/>
      </c>
      <c r="H10" s="16" t="str">
        <f t="shared" si="1"/>
        <v/>
      </c>
      <c r="I10" s="40" t="str">
        <f t="shared" si="2"/>
        <v/>
      </c>
      <c r="J10" s="41" t="str">
        <f t="shared" si="3"/>
        <v/>
      </c>
    </row>
    <row r="11" spans="4:10">
      <c r="D11" s="12" t="str">
        <f>IF(E11="","",'TM-21 Inputs'!#REF!)</f>
        <v/>
      </c>
      <c r="E11" s="13" t="str">
        <f>IF(OR('TM-21 Inputs'!$I$19="",'TM-21 Inputs'!$I$21=""),"-",IF(OR('TM-21 Inputs'!K15="",'TM-21 Inputs'!L15=""),"",IF(OR(AND('TM-21 Inputs'!$I$19&gt;=6000,'TM-21 Inputs'!$I$19&lt;=10000,'TM-21 Inputs'!K15&gt;='TM-21 Inputs'!$I$19-5000),AND('TM-21 Inputs'!$I$19&gt;10000,OR('TM-21 Inputs'!K15&gt;=0.5*'TM-21 Inputs'!$I$19,'TM-21 Inputs'!K15=SMALL('TM-21 Inputs'!$K$10:$K$29,COUNTIF('TM-21 Inputs'!$K$10:$K$29,"&lt;"&amp;(0.5*'TM-21 Inputs'!$I$19)+1))))),'TM-21 Inputs'!K15,"")))</f>
        <v/>
      </c>
      <c r="F11" s="14" t="str">
        <f>IF(E11="","",'TM-21 Inputs'!L15)</f>
        <v/>
      </c>
      <c r="G11" s="15" t="str">
        <f t="shared" si="0"/>
        <v/>
      </c>
      <c r="H11" s="16" t="str">
        <f t="shared" si="1"/>
        <v/>
      </c>
      <c r="I11" s="40" t="str">
        <f t="shared" si="2"/>
        <v/>
      </c>
      <c r="J11" s="41" t="str">
        <f t="shared" si="3"/>
        <v/>
      </c>
    </row>
    <row r="12" spans="4:10">
      <c r="D12" s="12" t="e">
        <f>IF(E12="","",'TM-21 Inputs'!#REF!)</f>
        <v>#REF!</v>
      </c>
      <c r="E12" s="13">
        <f>IF(OR('TM-21 Inputs'!$I$19="",'TM-21 Inputs'!$I$21=""),"-",IF(OR('TM-21 Inputs'!K16="",'TM-21 Inputs'!L16=""),"",IF(OR(AND('TM-21 Inputs'!$I$19&gt;=6000,'TM-21 Inputs'!$I$19&lt;=10000,'TM-21 Inputs'!K16&gt;='TM-21 Inputs'!$I$19-5000),AND('TM-21 Inputs'!$I$19&gt;10000,OR('TM-21 Inputs'!K16&gt;=0.5*'TM-21 Inputs'!$I$19,'TM-21 Inputs'!K16=SMALL('TM-21 Inputs'!$K$10:$K$29,COUNTIF('TM-21 Inputs'!$K$10:$K$29,"&lt;"&amp;(0.5*'TM-21 Inputs'!$I$19)+1))))),'TM-21 Inputs'!K16,"")))</f>
        <v>6000</v>
      </c>
      <c r="F12" s="14">
        <f>IF(E12="","",'TM-21 Inputs'!L16)</f>
        <v>0.974</v>
      </c>
      <c r="G12" s="15">
        <f t="shared" si="0"/>
        <v>-0.0263439753396019</v>
      </c>
      <c r="H12" s="16">
        <f t="shared" si="1"/>
        <v>-158.063852037611</v>
      </c>
      <c r="I12" s="40">
        <f t="shared" si="2"/>
        <v>36000000</v>
      </c>
      <c r="J12" s="41">
        <f t="shared" si="3"/>
        <v>-158.063852037611</v>
      </c>
    </row>
    <row r="13" spans="4:10">
      <c r="D13" s="12" t="e">
        <f>IF(E13="","",'TM-21 Inputs'!#REF!)</f>
        <v>#REF!</v>
      </c>
      <c r="E13" s="13">
        <f>IF(OR('TM-21 Inputs'!$I$19="",'TM-21 Inputs'!$I$21=""),"-",IF(OR('TM-21 Inputs'!K17="",'TM-21 Inputs'!L17=""),"",IF(OR(AND('TM-21 Inputs'!$I$19&gt;=6000,'TM-21 Inputs'!$I$19&lt;=10000,'TM-21 Inputs'!K17&gt;='TM-21 Inputs'!$I$19-5000),AND('TM-21 Inputs'!$I$19&gt;10000,OR('TM-21 Inputs'!K17&gt;=0.5*'TM-21 Inputs'!$I$19,'TM-21 Inputs'!K17=SMALL('TM-21 Inputs'!$K$10:$K$29,COUNTIF('TM-21 Inputs'!$K$10:$K$29,"&lt;"&amp;(0.5*'TM-21 Inputs'!$I$19)+1))))),'TM-21 Inputs'!K17,"")))</f>
        <v>7000</v>
      </c>
      <c r="F13" s="14">
        <f>IF(E13="","",'TM-21 Inputs'!L17)</f>
        <v>0.969</v>
      </c>
      <c r="G13" s="15">
        <f t="shared" si="0"/>
        <v>-0.0314906670913707</v>
      </c>
      <c r="H13" s="16">
        <f t="shared" si="1"/>
        <v>-220.434669639595</v>
      </c>
      <c r="I13" s="40">
        <f t="shared" si="2"/>
        <v>49000000</v>
      </c>
      <c r="J13" s="41">
        <f t="shared" si="3"/>
        <v>-220.434669639595</v>
      </c>
    </row>
    <row r="14" spans="4:10">
      <c r="D14" s="12" t="e">
        <f>IF(E14="","",'TM-21 Inputs'!#REF!)</f>
        <v>#REF!</v>
      </c>
      <c r="E14" s="13">
        <f>IF(OR('TM-21 Inputs'!$I$19="",'TM-21 Inputs'!$I$21=""),"-",IF(OR('TM-21 Inputs'!K18="",'TM-21 Inputs'!L18=""),"",IF(OR(AND('TM-21 Inputs'!$I$19&gt;=6000,'TM-21 Inputs'!$I$19&lt;=10000,'TM-21 Inputs'!K18&gt;='TM-21 Inputs'!$I$19-5000),AND('TM-21 Inputs'!$I$19&gt;10000,OR('TM-21 Inputs'!K18&gt;=0.5*'TM-21 Inputs'!$I$19,'TM-21 Inputs'!K18=SMALL('TM-21 Inputs'!$K$10:$K$29,COUNTIF('TM-21 Inputs'!$K$10:$K$29,"&lt;"&amp;(0.5*'TM-21 Inputs'!$I$19)+1))))),'TM-21 Inputs'!K18,"")))</f>
        <v>8000</v>
      </c>
      <c r="F14" s="14">
        <f>IF(E14="","",'TM-21 Inputs'!L18)</f>
        <v>0.968</v>
      </c>
      <c r="G14" s="15">
        <f t="shared" si="0"/>
        <v>-0.0325231917055601</v>
      </c>
      <c r="H14" s="16">
        <f t="shared" si="1"/>
        <v>-260.18553364448</v>
      </c>
      <c r="I14" s="40">
        <f t="shared" si="2"/>
        <v>64000000</v>
      </c>
      <c r="J14" s="41">
        <f t="shared" si="3"/>
        <v>-260.18553364448</v>
      </c>
    </row>
    <row r="15" spans="4:10">
      <c r="D15" s="12" t="e">
        <f>IF(E15="","",'TM-21 Inputs'!#REF!)</f>
        <v>#REF!</v>
      </c>
      <c r="E15" s="13">
        <f>IF(OR('TM-21 Inputs'!$I$19="",'TM-21 Inputs'!$I$21=""),"-",IF(OR('TM-21 Inputs'!K19="",'TM-21 Inputs'!L19=""),"",IF(OR(AND('TM-21 Inputs'!$I$19&gt;=6000,'TM-21 Inputs'!$I$19&lt;=10000,'TM-21 Inputs'!K19&gt;='TM-21 Inputs'!$I$19-5000),AND('TM-21 Inputs'!$I$19&gt;10000,OR('TM-21 Inputs'!K19&gt;=0.5*'TM-21 Inputs'!$I$19,'TM-21 Inputs'!K19=SMALL('TM-21 Inputs'!$K$10:$K$29,COUNTIF('TM-21 Inputs'!$K$10:$K$29,"&lt;"&amp;(0.5*'TM-21 Inputs'!$I$19)+1))))),'TM-21 Inputs'!K19,"")))</f>
        <v>9000</v>
      </c>
      <c r="F15" s="14">
        <f>IF(E15="","",'TM-21 Inputs'!L19)</f>
        <v>0.966</v>
      </c>
      <c r="G15" s="15">
        <f t="shared" si="0"/>
        <v>-0.0345914447696191</v>
      </c>
      <c r="H15" s="16">
        <f t="shared" si="1"/>
        <v>-311.323002926572</v>
      </c>
      <c r="I15" s="40">
        <f t="shared" si="2"/>
        <v>81000000</v>
      </c>
      <c r="J15" s="41">
        <f t="shared" si="3"/>
        <v>-311.323002926572</v>
      </c>
    </row>
    <row r="16" spans="4:10">
      <c r="D16" s="12" t="e">
        <f>IF(E16="","",'TM-21 Inputs'!#REF!)</f>
        <v>#REF!</v>
      </c>
      <c r="E16" s="13">
        <f>IF(OR('TM-21 Inputs'!$I$19="",'TM-21 Inputs'!$I$21=""),"-",IF(OR('TM-21 Inputs'!K20="",'TM-21 Inputs'!L20=""),"",IF(OR(AND('TM-21 Inputs'!$I$19&gt;=6000,'TM-21 Inputs'!$I$19&lt;=10000,'TM-21 Inputs'!K20&gt;='TM-21 Inputs'!$I$19-5000),AND('TM-21 Inputs'!$I$19&gt;10000,OR('TM-21 Inputs'!K20&gt;=0.5*'TM-21 Inputs'!$I$19,'TM-21 Inputs'!K20=SMALL('TM-21 Inputs'!$K$10:$K$29,COUNTIF('TM-21 Inputs'!$K$10:$K$29,"&lt;"&amp;(0.5*'TM-21 Inputs'!$I$19)+1))))),'TM-21 Inputs'!K20,"")))</f>
        <v>10000</v>
      </c>
      <c r="F16" s="14">
        <f>IF(E16="","",'TM-21 Inputs'!L20)</f>
        <v>0.965</v>
      </c>
      <c r="G16" s="15">
        <f t="shared" si="0"/>
        <v>-0.0356271776431512</v>
      </c>
      <c r="H16" s="16">
        <f t="shared" si="1"/>
        <v>-356.271776431512</v>
      </c>
      <c r="I16" s="40">
        <f t="shared" si="2"/>
        <v>100000000</v>
      </c>
      <c r="J16" s="41">
        <f t="shared" si="3"/>
        <v>-356.271776431512</v>
      </c>
    </row>
    <row r="17" spans="4:10">
      <c r="D17" s="12" t="e">
        <f>IF(E17="","",'TM-21 Inputs'!#REF!)</f>
        <v>#REF!</v>
      </c>
      <c r="E17" s="13">
        <f>IF(OR('TM-21 Inputs'!$I$19="",'TM-21 Inputs'!$I$21=""),"-",IF(OR('TM-21 Inputs'!K21="",'TM-21 Inputs'!L21=""),"",IF(OR(AND('TM-21 Inputs'!$I$19&gt;=6000,'TM-21 Inputs'!$I$19&lt;=10000,'TM-21 Inputs'!K21&gt;='TM-21 Inputs'!$I$19-5000),AND('TM-21 Inputs'!$I$19&gt;10000,OR('TM-21 Inputs'!K21&gt;=0.5*'TM-21 Inputs'!$I$19,'TM-21 Inputs'!K21=SMALL('TM-21 Inputs'!$K$10:$K$29,COUNTIF('TM-21 Inputs'!$K$10:$K$29,"&lt;"&amp;(0.5*'TM-21 Inputs'!$I$19)+1))))),'TM-21 Inputs'!K21,"")))</f>
        <v>11000</v>
      </c>
      <c r="F17" s="14">
        <f>IF(E17="","",'TM-21 Inputs'!L21)</f>
        <v>0.965</v>
      </c>
      <c r="G17" s="15">
        <f t="shared" si="0"/>
        <v>-0.0356271776431512</v>
      </c>
      <c r="H17" s="16">
        <f t="shared" si="1"/>
        <v>-391.898954074663</v>
      </c>
      <c r="I17" s="40">
        <f t="shared" si="2"/>
        <v>121000000</v>
      </c>
      <c r="J17" s="41">
        <f t="shared" si="3"/>
        <v>-391.898954074663</v>
      </c>
    </row>
    <row r="18" spans="4:10">
      <c r="D18" s="12" t="e">
        <f>IF(E18="","",'TM-21 Inputs'!#REF!)</f>
        <v>#REF!</v>
      </c>
      <c r="E18" s="13">
        <f>IF(OR('TM-21 Inputs'!$I$19="",'TM-21 Inputs'!$I$21=""),"-",IF(OR('TM-21 Inputs'!K22="",'TM-21 Inputs'!L22=""),"",IF(OR(AND('TM-21 Inputs'!$I$19&gt;=6000,'TM-21 Inputs'!$I$19&lt;=10000,'TM-21 Inputs'!K22&gt;='TM-21 Inputs'!$I$19-5000),AND('TM-21 Inputs'!$I$19&gt;10000,OR('TM-21 Inputs'!K22&gt;=0.5*'TM-21 Inputs'!$I$19,'TM-21 Inputs'!K22=SMALL('TM-21 Inputs'!$K$10:$K$29,COUNTIF('TM-21 Inputs'!$K$10:$K$29,"&lt;"&amp;(0.5*'TM-21 Inputs'!$I$19)+1))))),'TM-21 Inputs'!K22,"")))</f>
        <v>12000</v>
      </c>
      <c r="F18" s="14">
        <f>IF(E18="","",'TM-21 Inputs'!L22)</f>
        <v>0.964</v>
      </c>
      <c r="G18" s="15">
        <f t="shared" si="0"/>
        <v>-0.0366639843715914</v>
      </c>
      <c r="H18" s="16">
        <f t="shared" si="1"/>
        <v>-439.967812459096</v>
      </c>
      <c r="I18" s="40">
        <f t="shared" si="2"/>
        <v>144000000</v>
      </c>
      <c r="J18" s="41">
        <f t="shared" si="3"/>
        <v>-439.967812459096</v>
      </c>
    </row>
    <row r="19" spans="4:10">
      <c r="D19" s="12" t="str">
        <f>IF(E19="","",'TM-21 Inputs'!#REF!)</f>
        <v/>
      </c>
      <c r="E19" s="13" t="str">
        <f>IF(OR('TM-21 Inputs'!$I$19="",'TM-21 Inputs'!$I$21=""),"-",IF(OR('TM-21 Inputs'!K23="",'TM-21 Inputs'!L23=""),"",IF(OR(AND('TM-21 Inputs'!$I$19&gt;=6000,'TM-21 Inputs'!$I$19&lt;=10000,'TM-21 Inputs'!K23&gt;='TM-21 Inputs'!$I$19-5000),AND('TM-21 Inputs'!$I$19&gt;10000,OR('TM-21 Inputs'!K23&gt;=0.5*'TM-21 Inputs'!$I$19,'TM-21 Inputs'!K23=SMALL('TM-21 Inputs'!$K$10:$K$29,COUNTIF('TM-21 Inputs'!$K$10:$K$29,"&lt;"&amp;(0.5*'TM-21 Inputs'!$I$19)+1))))),'TM-21 Inputs'!K23,"")))</f>
        <v/>
      </c>
      <c r="F19" s="14" t="str">
        <f>IF(E19="","",'TM-21 Inputs'!L23)</f>
        <v/>
      </c>
      <c r="G19" s="15" t="str">
        <f t="shared" si="0"/>
        <v/>
      </c>
      <c r="H19" s="16" t="str">
        <f t="shared" si="1"/>
        <v/>
      </c>
      <c r="I19" s="40" t="str">
        <f t="shared" si="2"/>
        <v/>
      </c>
      <c r="J19" s="41" t="str">
        <f t="shared" si="3"/>
        <v/>
      </c>
    </row>
    <row r="20" spans="4:10">
      <c r="D20" s="12" t="str">
        <f>IF(E20="","",'TM-21 Inputs'!#REF!)</f>
        <v/>
      </c>
      <c r="E20" s="13" t="str">
        <f>IF(OR('TM-21 Inputs'!$I$19="",'TM-21 Inputs'!$I$21=""),"-",IF(OR('TM-21 Inputs'!K24="",'TM-21 Inputs'!L24=""),"",IF(OR(AND('TM-21 Inputs'!$I$19&gt;=6000,'TM-21 Inputs'!$I$19&lt;=10000,'TM-21 Inputs'!K24&gt;='TM-21 Inputs'!$I$19-5000),AND('TM-21 Inputs'!$I$19&gt;10000,OR('TM-21 Inputs'!K24&gt;=0.5*'TM-21 Inputs'!$I$19,'TM-21 Inputs'!K24=SMALL('TM-21 Inputs'!$K$10:$K$29,COUNTIF('TM-21 Inputs'!$K$10:$K$29,"&lt;"&amp;(0.5*'TM-21 Inputs'!$I$19)+1))))),'TM-21 Inputs'!K24,"")))</f>
        <v/>
      </c>
      <c r="F20" s="14" t="str">
        <f>IF(E20="","",'TM-21 Inputs'!L24)</f>
        <v/>
      </c>
      <c r="G20" s="15" t="str">
        <f t="shared" si="0"/>
        <v/>
      </c>
      <c r="H20" s="16" t="str">
        <f t="shared" si="1"/>
        <v/>
      </c>
      <c r="I20" s="40" t="str">
        <f t="shared" si="2"/>
        <v/>
      </c>
      <c r="J20" s="41" t="str">
        <f t="shared" si="3"/>
        <v/>
      </c>
    </row>
    <row r="21" spans="4:10">
      <c r="D21" s="12" t="str">
        <f>IF(E21="","",'TM-21 Inputs'!#REF!)</f>
        <v/>
      </c>
      <c r="E21" s="13" t="str">
        <f>IF(OR('TM-21 Inputs'!$I$19="",'TM-21 Inputs'!$I$21=""),"-",IF(OR('TM-21 Inputs'!K25="",'TM-21 Inputs'!L25=""),"",IF(OR(AND('TM-21 Inputs'!$I$19&gt;=6000,'TM-21 Inputs'!$I$19&lt;=10000,'TM-21 Inputs'!K25&gt;='TM-21 Inputs'!$I$19-5000),AND('TM-21 Inputs'!$I$19&gt;10000,OR('TM-21 Inputs'!K25&gt;=0.5*'TM-21 Inputs'!$I$19,'TM-21 Inputs'!K25=SMALL('TM-21 Inputs'!$K$10:$K$29,COUNTIF('TM-21 Inputs'!$K$10:$K$29,"&lt;"&amp;(0.5*'TM-21 Inputs'!$I$19)+1))))),'TM-21 Inputs'!K25,"")))</f>
        <v/>
      </c>
      <c r="F21" s="14" t="str">
        <f>IF(E21="","",'TM-21 Inputs'!L25)</f>
        <v/>
      </c>
      <c r="G21" s="15" t="str">
        <f t="shared" si="0"/>
        <v/>
      </c>
      <c r="H21" s="16" t="str">
        <f t="shared" si="1"/>
        <v/>
      </c>
      <c r="I21" s="40" t="str">
        <f t="shared" si="2"/>
        <v/>
      </c>
      <c r="J21" s="41" t="str">
        <f t="shared" si="3"/>
        <v/>
      </c>
    </row>
    <row r="22" spans="4:10">
      <c r="D22" s="12" t="str">
        <f>IF(E22="","",'TM-21 Inputs'!#REF!)</f>
        <v/>
      </c>
      <c r="E22" s="13" t="str">
        <f>IF(OR('TM-21 Inputs'!$I$19="",'TM-21 Inputs'!$I$21=""),"-",IF(OR('TM-21 Inputs'!K26="",'TM-21 Inputs'!L26=""),"",IF(OR(AND('TM-21 Inputs'!$I$19&gt;=6000,'TM-21 Inputs'!$I$19&lt;=10000,'TM-21 Inputs'!K26&gt;='TM-21 Inputs'!$I$19-5000),AND('TM-21 Inputs'!$I$19&gt;10000,OR('TM-21 Inputs'!K26&gt;=0.5*'TM-21 Inputs'!$I$19,'TM-21 Inputs'!K26=SMALL('TM-21 Inputs'!$K$10:$K$29,COUNTIF('TM-21 Inputs'!$K$10:$K$29,"&lt;"&amp;(0.5*'TM-21 Inputs'!$I$19)+1))))),'TM-21 Inputs'!K26,"")))</f>
        <v/>
      </c>
      <c r="F22" s="14" t="str">
        <f>IF(E22="","",'TM-21 Inputs'!L26)</f>
        <v/>
      </c>
      <c r="G22" s="15" t="str">
        <f t="shared" si="0"/>
        <v/>
      </c>
      <c r="H22" s="16" t="str">
        <f t="shared" si="1"/>
        <v/>
      </c>
      <c r="I22" s="40" t="str">
        <f t="shared" si="2"/>
        <v/>
      </c>
      <c r="J22" s="41" t="str">
        <f t="shared" si="3"/>
        <v/>
      </c>
    </row>
    <row r="23" spans="4:10">
      <c r="D23" s="12" t="str">
        <f>IF(E23="","",'TM-21 Inputs'!#REF!)</f>
        <v/>
      </c>
      <c r="E23" s="13" t="str">
        <f>IF(OR('TM-21 Inputs'!$I$19="",'TM-21 Inputs'!$I$21=""),"-",IF(OR('TM-21 Inputs'!K27="",'TM-21 Inputs'!L27=""),"",IF(OR(AND('TM-21 Inputs'!$I$19&gt;=6000,'TM-21 Inputs'!$I$19&lt;=10000,'TM-21 Inputs'!K27&gt;='TM-21 Inputs'!$I$19-5000),AND('TM-21 Inputs'!$I$19&gt;10000,OR('TM-21 Inputs'!K27&gt;=0.5*'TM-21 Inputs'!$I$19,'TM-21 Inputs'!K27=SMALL('TM-21 Inputs'!$K$10:$K$29,COUNTIF('TM-21 Inputs'!$K$10:$K$29,"&lt;"&amp;(0.5*'TM-21 Inputs'!$I$19)+1))))),'TM-21 Inputs'!K27,"")))</f>
        <v/>
      </c>
      <c r="F23" s="14" t="str">
        <f>IF(E23="","",'TM-21 Inputs'!L27)</f>
        <v/>
      </c>
      <c r="G23" s="15" t="str">
        <f t="shared" si="0"/>
        <v/>
      </c>
      <c r="H23" s="16" t="str">
        <f t="shared" si="1"/>
        <v/>
      </c>
      <c r="I23" s="40" t="str">
        <f t="shared" si="2"/>
        <v/>
      </c>
      <c r="J23" s="41" t="str">
        <f t="shared" si="3"/>
        <v/>
      </c>
    </row>
    <row r="24" spans="4:10">
      <c r="D24" s="12" t="str">
        <f>IF(E24="","",'TM-21 Inputs'!#REF!)</f>
        <v/>
      </c>
      <c r="E24" s="13" t="str">
        <f>IF(OR('TM-21 Inputs'!$I$19="",'TM-21 Inputs'!$I$21=""),"-",IF(OR('TM-21 Inputs'!K28="",'TM-21 Inputs'!L28=""),"",IF(OR(AND('TM-21 Inputs'!$I$19&gt;=6000,'TM-21 Inputs'!$I$19&lt;=10000,'TM-21 Inputs'!K28&gt;='TM-21 Inputs'!$I$19-5000),AND('TM-21 Inputs'!$I$19&gt;10000,OR('TM-21 Inputs'!K28&gt;=0.5*'TM-21 Inputs'!$I$19,'TM-21 Inputs'!K28=SMALL('TM-21 Inputs'!$K$10:$K$29,COUNTIF('TM-21 Inputs'!$K$10:$K$29,"&lt;"&amp;(0.5*'TM-21 Inputs'!$I$19)+1))))),'TM-21 Inputs'!K28,"")))</f>
        <v/>
      </c>
      <c r="F24" s="14" t="str">
        <f>IF(E24="","",'TM-21 Inputs'!L28)</f>
        <v/>
      </c>
      <c r="G24" s="15" t="str">
        <f t="shared" si="0"/>
        <v/>
      </c>
      <c r="H24" s="16" t="str">
        <f t="shared" si="1"/>
        <v/>
      </c>
      <c r="I24" s="40" t="str">
        <f t="shared" si="2"/>
        <v/>
      </c>
      <c r="J24" s="41" t="str">
        <f t="shared" si="3"/>
        <v/>
      </c>
    </row>
    <row r="25" spans="4:10">
      <c r="D25" s="17" t="str">
        <f>IF(E25="","",'TM-21 Inputs'!#REF!)</f>
        <v/>
      </c>
      <c r="E25" s="18" t="str">
        <f>IF(OR('TM-21 Inputs'!$I$19="",'TM-21 Inputs'!$I$21=""),"-",IF(OR('TM-21 Inputs'!K29="",'TM-21 Inputs'!L29=""),"",IF(OR(AND('TM-21 Inputs'!$I$19&gt;=6000,'TM-21 Inputs'!$I$19&lt;=10000,'TM-21 Inputs'!K29&gt;='TM-21 Inputs'!$I$19-5000),AND('TM-21 Inputs'!$I$19&gt;10000,OR('TM-21 Inputs'!K29&gt;=0.5*'TM-21 Inputs'!$I$19,'TM-21 Inputs'!K29=SMALL('TM-21 Inputs'!$K$10:$K$29,COUNTIF('TM-21 Inputs'!$K$10:$K$29,"&lt;"&amp;(0.5*'TM-21 Inputs'!$I$19)+1))))),'TM-21 Inputs'!K29,"")))</f>
        <v/>
      </c>
      <c r="F25" s="19" t="str">
        <f>IF(E25="","",'TM-21 Inputs'!L29)</f>
        <v/>
      </c>
      <c r="G25" s="20" t="str">
        <f t="shared" si="0"/>
        <v/>
      </c>
      <c r="H25" s="21" t="str">
        <f t="shared" si="1"/>
        <v/>
      </c>
      <c r="I25" s="42" t="str">
        <f t="shared" si="2"/>
        <v/>
      </c>
      <c r="J25" s="43" t="str">
        <f t="shared" si="3"/>
        <v/>
      </c>
    </row>
    <row r="26" ht="14.25" spans="4:10">
      <c r="D26" s="22" t="s">
        <v>98</v>
      </c>
      <c r="E26" s="23">
        <f t="shared" ref="E26:J26" si="4">SUM(E6:E25)</f>
        <v>63000</v>
      </c>
      <c r="F26" s="24">
        <f t="shared" si="4"/>
        <v>6.771</v>
      </c>
      <c r="G26" s="25">
        <f t="shared" si="4"/>
        <v>-0.232867618564045</v>
      </c>
      <c r="H26" s="26">
        <f t="shared" si="4"/>
        <v>-2138.14560121353</v>
      </c>
      <c r="I26" s="44">
        <f t="shared" si="4"/>
        <v>595000000</v>
      </c>
      <c r="J26" s="45">
        <f t="shared" si="4"/>
        <v>-2138.14560121353</v>
      </c>
    </row>
    <row r="27" ht="14.25"/>
    <row r="28" ht="14.25" spans="5:6">
      <c r="E28" s="2" t="s">
        <v>22</v>
      </c>
      <c r="F28" s="27"/>
    </row>
    <row r="29" spans="5:6">
      <c r="E29" s="28" t="s">
        <v>99</v>
      </c>
      <c r="F29" s="29">
        <f>((COUNTIF(E6:E25,"&gt;"&amp;0)*H26-(E26*G26))/((COUNTIF(E6:E25,"&gt;"&amp;0)*I26)-(E26^2)))</f>
        <v>-1.51203693346858e-6</v>
      </c>
    </row>
    <row r="30" spans="5:6">
      <c r="E30" s="30" t="s">
        <v>100</v>
      </c>
      <c r="F30" s="31">
        <f>(G26-(F29*E26))/COUNTIF(E6:E25,"&gt;"&amp;0)</f>
        <v>-0.0196584702507893</v>
      </c>
    </row>
    <row r="31" ht="15" spans="5:6">
      <c r="E31" s="32" t="s">
        <v>58</v>
      </c>
      <c r="F31" s="31">
        <f>-F29</f>
        <v>1.51203693346858e-6</v>
      </c>
    </row>
    <row r="32" spans="5:6">
      <c r="E32" s="30" t="s">
        <v>59</v>
      </c>
      <c r="F32" s="31">
        <f>EXP(F30)</f>
        <v>0.980533497486781</v>
      </c>
    </row>
    <row r="33" ht="30" customHeight="1" spans="5:6">
      <c r="E33" s="33" t="str">
        <f>CONCATENATE("Calculated L",'TM-21 Inputs'!I35," (hrs):")</f>
        <v>Calculated L90 (hrs):</v>
      </c>
      <c r="F33" s="34">
        <f>ROUND((LN(F32/('TM-21 Inputs'!$I$35/100))/F31),-3)</f>
        <v>57000</v>
      </c>
    </row>
    <row r="34" ht="27.75" spans="5:6">
      <c r="E34" s="35" t="str">
        <f>CONCATENATE("Reported L",'TM-21 Inputs'!I35," (hrs):")</f>
        <v>Reported L90 (hrs):</v>
      </c>
      <c r="F34" s="36">
        <f>IF(OR(AND('TM-21 Inputs'!$I$18&gt;=20,$F$33&lt;6*'TM-21 Inputs'!$I$19),AND('TM-21 Inputs'!$I$18&gt;=10,'TM-21 Inputs'!$I$18&lt;=19,$F$33&lt;5.5*'TM-21 Inputs'!$I$19)),ROUND(F33,-3),IF('TM-21 Inputs'!$I$18&gt;=20,CONCATENATE("&gt;",ROUND((6*'TM-21 Inputs'!$I$19),-3)),IF(AND('TM-21 Inputs'!$I$18&gt;=10,'TM-21 Inputs'!$I$18&lt;=19),CONCATENATE("&gt;",ROUND((5.5*'TM-21 Inputs'!$I$19),-3)),"error")))</f>
        <v>57000</v>
      </c>
    </row>
  </sheetData>
  <sheetProtection password="C696" sheet="1" objects="1" scenarios="1"/>
  <mergeCells count="2">
    <mergeCell ref="D4:J4"/>
    <mergeCell ref="E28:F28"/>
  </mergeCells>
  <pageMargins left="0.7" right="0.7" top="0.75" bottom="0.75" header="0.3" footer="0.3"/>
  <pageSetup paperSize="1" orientation="portrait"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FFC000"/>
  </sheetPr>
  <dimension ref="D3:J34"/>
  <sheetViews>
    <sheetView workbookViewId="0">
      <selection activeCell="G24" sqref="G24"/>
    </sheetView>
  </sheetViews>
  <sheetFormatPr defaultColWidth="9.10833333333333" defaultRowHeight="13.5"/>
  <cols>
    <col min="1" max="1" width="17" style="1" customWidth="1"/>
    <col min="2" max="3" width="9.10833333333333" style="1"/>
    <col min="4" max="4" width="6.44166666666667" style="1" customWidth="1"/>
    <col min="5" max="5" width="12.8833333333333" style="1" customWidth="1"/>
    <col min="6" max="6" width="17.8833333333333" style="1" customWidth="1"/>
    <col min="7" max="7" width="27.4416666666667" style="1" customWidth="1"/>
    <col min="8" max="8" width="12.4416666666667" style="1" customWidth="1"/>
    <col min="9" max="9" width="11.1083333333333" style="1" customWidth="1"/>
    <col min="10" max="16384" width="9.10833333333333" style="1"/>
  </cols>
  <sheetData>
    <row r="3" ht="14.25"/>
    <row r="4" ht="15" customHeight="1" spans="4:10">
      <c r="D4" s="2" t="str">
        <f>IF('TM-21 Inputs'!I22="","Insert Case Temperature 2",CONCATENATE("Test Data for ",'TM-21 Inputs'!I22,"⁰C Case Temperature"))</f>
        <v>Test Data for 85⁰C Case Temperature</v>
      </c>
      <c r="E4" s="3"/>
      <c r="F4" s="3"/>
      <c r="G4" s="3"/>
      <c r="H4" s="3"/>
      <c r="I4" s="3"/>
      <c r="J4" s="27"/>
    </row>
    <row r="5" ht="60" customHeight="1" spans="4:10">
      <c r="D5" s="4" t="s">
        <v>91</v>
      </c>
      <c r="E5" s="5" t="s">
        <v>92</v>
      </c>
      <c r="F5" s="6" t="s">
        <v>93</v>
      </c>
      <c r="G5" s="6" t="s">
        <v>94</v>
      </c>
      <c r="H5" s="6" t="s">
        <v>95</v>
      </c>
      <c r="I5" s="6" t="s">
        <v>96</v>
      </c>
      <c r="J5" s="37" t="s">
        <v>97</v>
      </c>
    </row>
    <row r="6" spans="4:10">
      <c r="D6" s="7" t="str">
        <f>IF(E6="","",'TM-21 Inputs'!#REF!)</f>
        <v/>
      </c>
      <c r="E6" s="8" t="str">
        <f>IF(OR('TM-21 Inputs'!$I$19="",'TM-21 Inputs'!$I$21=""),"-",IF(OR('TM-21 Inputs'!N10="",'TM-21 Inputs'!L10=""),"",IF(OR(AND('TM-21 Inputs'!$I$19&gt;=6000,'TM-21 Inputs'!$I$19&lt;=10000,'TM-21 Inputs'!N10&gt;='TM-21 Inputs'!$I$19-5000),AND('TM-21 Inputs'!$I$19&gt;10000,OR('TM-21 Inputs'!N10&gt;=0.5*'TM-21 Inputs'!$I$19,'TM-21 Inputs'!N10=SMALL('TM-21 Inputs'!$N$10:$N$29,COUNTIF('TM-21 Inputs'!$N$10:$N$29,"&lt;"&amp;(0.5*'TM-21 Inputs'!$I$19)+1))))),'TM-21 Inputs'!N10,"")))</f>
        <v/>
      </c>
      <c r="F6" s="9" t="str">
        <f>IF(E6="","",'TM-21 Inputs'!O10)</f>
        <v/>
      </c>
      <c r="G6" s="10" t="str">
        <f>IF(E6="","",LN(F6))</f>
        <v/>
      </c>
      <c r="H6" s="11" t="str">
        <f>IF(E6="","",(G6*E6))</f>
        <v/>
      </c>
      <c r="I6" s="38" t="str">
        <f>IF(E6="","",E6^2)</f>
        <v/>
      </c>
      <c r="J6" s="39" t="str">
        <f>IF(E6="","",E6*G6)</f>
        <v/>
      </c>
    </row>
    <row r="7" spans="4:10">
      <c r="D7" s="12" t="str">
        <f>IF(E7="","",'TM-21 Inputs'!#REF!)</f>
        <v/>
      </c>
      <c r="E7" s="13" t="str">
        <f>IF(OR('TM-21 Inputs'!$I$19="",'TM-21 Inputs'!$I$21=""),"-",IF(OR('TM-21 Inputs'!N11="",'TM-21 Inputs'!L11=""),"",IF(OR(AND('TM-21 Inputs'!$I$19&gt;=6000,'TM-21 Inputs'!$I$19&lt;=10000,'TM-21 Inputs'!N11&gt;='TM-21 Inputs'!$I$19-5000),AND('TM-21 Inputs'!$I$19&gt;10000,OR('TM-21 Inputs'!N11&gt;=0.5*'TM-21 Inputs'!$I$19,'TM-21 Inputs'!N11=SMALL('TM-21 Inputs'!$N$10:$N$29,COUNTIF('TM-21 Inputs'!$N$10:$N$29,"&lt;"&amp;(0.5*'TM-21 Inputs'!$I$19)+1))))),'TM-21 Inputs'!N11,"")))</f>
        <v/>
      </c>
      <c r="F7" s="14" t="str">
        <f>IF(E7="","",'TM-21 Inputs'!O11)</f>
        <v/>
      </c>
      <c r="G7" s="15" t="str">
        <f t="shared" ref="G7:G25" si="0">IF(E7="","",LN(F7))</f>
        <v/>
      </c>
      <c r="H7" s="16" t="str">
        <f t="shared" ref="H7:H25" si="1">IF(E7="","",(G7*E7))</f>
        <v/>
      </c>
      <c r="I7" s="40" t="str">
        <f t="shared" ref="I7:I25" si="2">IF(E7="","",E7^2)</f>
        <v/>
      </c>
      <c r="J7" s="41" t="str">
        <f t="shared" ref="J7:J25" si="3">IF(E7="","",E7*G7)</f>
        <v/>
      </c>
    </row>
    <row r="8" spans="4:10">
      <c r="D8" s="12" t="str">
        <f>IF(E8="","",'TM-21 Inputs'!#REF!)</f>
        <v/>
      </c>
      <c r="E8" s="13" t="str">
        <f>IF(OR('TM-21 Inputs'!$I$19="",'TM-21 Inputs'!$I$21=""),"-",IF(OR('TM-21 Inputs'!N12="",'TM-21 Inputs'!L12=""),"",IF(OR(AND('TM-21 Inputs'!$I$19&gt;=6000,'TM-21 Inputs'!$I$19&lt;=10000,'TM-21 Inputs'!N12&gt;='TM-21 Inputs'!$I$19-5000),AND('TM-21 Inputs'!$I$19&gt;10000,OR('TM-21 Inputs'!N12&gt;=0.5*'TM-21 Inputs'!$I$19,'TM-21 Inputs'!N12=SMALL('TM-21 Inputs'!$N$10:$N$29,COUNTIF('TM-21 Inputs'!$N$10:$N$29,"&lt;"&amp;(0.5*'TM-21 Inputs'!$I$19)+1))))),'TM-21 Inputs'!N12,"")))</f>
        <v/>
      </c>
      <c r="F8" s="14" t="str">
        <f>IF(E8="","",'TM-21 Inputs'!O12)</f>
        <v/>
      </c>
      <c r="G8" s="15" t="str">
        <f t="shared" si="0"/>
        <v/>
      </c>
      <c r="H8" s="16" t="str">
        <f t="shared" si="1"/>
        <v/>
      </c>
      <c r="I8" s="40" t="str">
        <f t="shared" si="2"/>
        <v/>
      </c>
      <c r="J8" s="41" t="str">
        <f t="shared" si="3"/>
        <v/>
      </c>
    </row>
    <row r="9" spans="4:10">
      <c r="D9" s="12" t="str">
        <f>IF(E9="","",'TM-21 Inputs'!#REF!)</f>
        <v/>
      </c>
      <c r="E9" s="13" t="str">
        <f>IF(OR('TM-21 Inputs'!$I$19="",'TM-21 Inputs'!$I$21=""),"-",IF(OR('TM-21 Inputs'!N13="",'TM-21 Inputs'!L13=""),"",IF(OR(AND('TM-21 Inputs'!$I$19&gt;=6000,'TM-21 Inputs'!$I$19&lt;=10000,'TM-21 Inputs'!N13&gt;='TM-21 Inputs'!$I$19-5000),AND('TM-21 Inputs'!$I$19&gt;10000,OR('TM-21 Inputs'!N13&gt;=0.5*'TM-21 Inputs'!$I$19,'TM-21 Inputs'!N13=SMALL('TM-21 Inputs'!$N$10:$N$29,COUNTIF('TM-21 Inputs'!$N$10:$N$29,"&lt;"&amp;(0.5*'TM-21 Inputs'!$I$19)+1))))),'TM-21 Inputs'!N13,"")))</f>
        <v/>
      </c>
      <c r="F9" s="14" t="str">
        <f>IF(E9="","",'TM-21 Inputs'!O13)</f>
        <v/>
      </c>
      <c r="G9" s="15" t="str">
        <f t="shared" si="0"/>
        <v/>
      </c>
      <c r="H9" s="16" t="str">
        <f t="shared" si="1"/>
        <v/>
      </c>
      <c r="I9" s="40" t="str">
        <f t="shared" si="2"/>
        <v/>
      </c>
      <c r="J9" s="41" t="str">
        <f t="shared" si="3"/>
        <v/>
      </c>
    </row>
    <row r="10" spans="4:10">
      <c r="D10" s="12" t="str">
        <f>IF(E10="","",'TM-21 Inputs'!#REF!)</f>
        <v/>
      </c>
      <c r="E10" s="13" t="str">
        <f>IF(OR('TM-21 Inputs'!$I$19="",'TM-21 Inputs'!$I$21=""),"-",IF(OR('TM-21 Inputs'!N14="",'TM-21 Inputs'!L14=""),"",IF(OR(AND('TM-21 Inputs'!$I$19&gt;=6000,'TM-21 Inputs'!$I$19&lt;=10000,'TM-21 Inputs'!N14&gt;='TM-21 Inputs'!$I$19-5000),AND('TM-21 Inputs'!$I$19&gt;10000,OR('TM-21 Inputs'!N14&gt;=0.5*'TM-21 Inputs'!$I$19,'TM-21 Inputs'!N14=SMALL('TM-21 Inputs'!$N$10:$N$29,COUNTIF('TM-21 Inputs'!$N$10:$N$29,"&lt;"&amp;(0.5*'TM-21 Inputs'!$I$19)+1))))),'TM-21 Inputs'!N14,"")))</f>
        <v/>
      </c>
      <c r="F10" s="14" t="str">
        <f>IF(E10="","",'TM-21 Inputs'!O14)</f>
        <v/>
      </c>
      <c r="G10" s="15" t="str">
        <f t="shared" si="0"/>
        <v/>
      </c>
      <c r="H10" s="16" t="str">
        <f t="shared" si="1"/>
        <v/>
      </c>
      <c r="I10" s="40" t="str">
        <f t="shared" si="2"/>
        <v/>
      </c>
      <c r="J10" s="41" t="str">
        <f t="shared" si="3"/>
        <v/>
      </c>
    </row>
    <row r="11" spans="4:10">
      <c r="D11" s="12" t="str">
        <f>IF(E11="","",'TM-21 Inputs'!#REF!)</f>
        <v/>
      </c>
      <c r="E11" s="13" t="str">
        <f>IF(OR('TM-21 Inputs'!$I$19="",'TM-21 Inputs'!$I$21=""),"-",IF(OR('TM-21 Inputs'!N15="",'TM-21 Inputs'!L15=""),"",IF(OR(AND('TM-21 Inputs'!$I$19&gt;=6000,'TM-21 Inputs'!$I$19&lt;=10000,'TM-21 Inputs'!N15&gt;='TM-21 Inputs'!$I$19-5000),AND('TM-21 Inputs'!$I$19&gt;10000,OR('TM-21 Inputs'!N15&gt;=0.5*'TM-21 Inputs'!$I$19,'TM-21 Inputs'!N15=SMALL('TM-21 Inputs'!$N$10:$N$29,COUNTIF('TM-21 Inputs'!$N$10:$N$29,"&lt;"&amp;(0.5*'TM-21 Inputs'!$I$19)+1))))),'TM-21 Inputs'!N15,"")))</f>
        <v/>
      </c>
      <c r="F11" s="14" t="str">
        <f>IF(E11="","",'TM-21 Inputs'!O15)</f>
        <v/>
      </c>
      <c r="G11" s="15" t="str">
        <f t="shared" si="0"/>
        <v/>
      </c>
      <c r="H11" s="16" t="str">
        <f t="shared" si="1"/>
        <v/>
      </c>
      <c r="I11" s="40" t="str">
        <f t="shared" si="2"/>
        <v/>
      </c>
      <c r="J11" s="41" t="str">
        <f t="shared" si="3"/>
        <v/>
      </c>
    </row>
    <row r="12" spans="4:10">
      <c r="D12" s="12" t="e">
        <f>IF(E12="","",'TM-21 Inputs'!#REF!)</f>
        <v>#REF!</v>
      </c>
      <c r="E12" s="13">
        <f>IF(OR('TM-21 Inputs'!$I$19="",'TM-21 Inputs'!$I$21=""),"-",IF(OR('TM-21 Inputs'!N16="",'TM-21 Inputs'!L16=""),"",IF(OR(AND('TM-21 Inputs'!$I$19&gt;=6000,'TM-21 Inputs'!$I$19&lt;=10000,'TM-21 Inputs'!N16&gt;='TM-21 Inputs'!$I$19-5000),AND('TM-21 Inputs'!$I$19&gt;10000,OR('TM-21 Inputs'!N16&gt;=0.5*'TM-21 Inputs'!$I$19,'TM-21 Inputs'!N16=SMALL('TM-21 Inputs'!$N$10:$N$29,COUNTIF('TM-21 Inputs'!$N$10:$N$29,"&lt;"&amp;(0.5*'TM-21 Inputs'!$I$19)+1))))),'TM-21 Inputs'!N16,"")))</f>
        <v>6000</v>
      </c>
      <c r="F12" s="14">
        <f>IF(E12="","",'TM-21 Inputs'!O16)</f>
        <v>0.973</v>
      </c>
      <c r="G12" s="15">
        <f t="shared" si="0"/>
        <v>-0.027371196796132</v>
      </c>
      <c r="H12" s="16">
        <f t="shared" si="1"/>
        <v>-164.227180776792</v>
      </c>
      <c r="I12" s="40">
        <f t="shared" si="2"/>
        <v>36000000</v>
      </c>
      <c r="J12" s="41">
        <f t="shared" si="3"/>
        <v>-164.227180776792</v>
      </c>
    </row>
    <row r="13" spans="4:10">
      <c r="D13" s="12" t="e">
        <f>IF(E13="","",'TM-21 Inputs'!#REF!)</f>
        <v>#REF!</v>
      </c>
      <c r="E13" s="13">
        <f>IF(OR('TM-21 Inputs'!$I$19="",'TM-21 Inputs'!$I$21=""),"-",IF(OR('TM-21 Inputs'!N17="",'TM-21 Inputs'!L17=""),"",IF(OR(AND('TM-21 Inputs'!$I$19&gt;=6000,'TM-21 Inputs'!$I$19&lt;=10000,'TM-21 Inputs'!N17&gt;='TM-21 Inputs'!$I$19-5000),AND('TM-21 Inputs'!$I$19&gt;10000,OR('TM-21 Inputs'!N17&gt;=0.5*'TM-21 Inputs'!$I$19,'TM-21 Inputs'!N17=SMALL('TM-21 Inputs'!$N$10:$N$29,COUNTIF('TM-21 Inputs'!$N$10:$N$29,"&lt;"&amp;(0.5*'TM-21 Inputs'!$I$19)+1))))),'TM-21 Inputs'!N17,"")))</f>
        <v>7000</v>
      </c>
      <c r="F13" s="14">
        <f>IF(E13="","",'TM-21 Inputs'!O17)</f>
        <v>0.964</v>
      </c>
      <c r="G13" s="15">
        <f t="shared" si="0"/>
        <v>-0.0366639843715914</v>
      </c>
      <c r="H13" s="16">
        <f t="shared" si="1"/>
        <v>-256.64789060114</v>
      </c>
      <c r="I13" s="40">
        <f t="shared" si="2"/>
        <v>49000000</v>
      </c>
      <c r="J13" s="41">
        <f t="shared" si="3"/>
        <v>-256.64789060114</v>
      </c>
    </row>
    <row r="14" spans="4:10">
      <c r="D14" s="12" t="e">
        <f>IF(E14="","",'TM-21 Inputs'!#REF!)</f>
        <v>#REF!</v>
      </c>
      <c r="E14" s="13">
        <f>IF(OR('TM-21 Inputs'!$I$19="",'TM-21 Inputs'!$I$21=""),"-",IF(OR('TM-21 Inputs'!N18="",'TM-21 Inputs'!L18=""),"",IF(OR(AND('TM-21 Inputs'!$I$19&gt;=6000,'TM-21 Inputs'!$I$19&lt;=10000,'TM-21 Inputs'!N18&gt;='TM-21 Inputs'!$I$19-5000),AND('TM-21 Inputs'!$I$19&gt;10000,OR('TM-21 Inputs'!N18&gt;=0.5*'TM-21 Inputs'!$I$19,'TM-21 Inputs'!N18=SMALL('TM-21 Inputs'!$N$10:$N$29,COUNTIF('TM-21 Inputs'!$N$10:$N$29,"&lt;"&amp;(0.5*'TM-21 Inputs'!$I$19)+1))))),'TM-21 Inputs'!N18,"")))</f>
        <v>8000</v>
      </c>
      <c r="F14" s="14">
        <f>IF(E14="","",'TM-21 Inputs'!O18)</f>
        <v>0.96</v>
      </c>
      <c r="G14" s="15">
        <f t="shared" si="0"/>
        <v>-0.0408219945202552</v>
      </c>
      <c r="H14" s="16">
        <f t="shared" si="1"/>
        <v>-326.575956162041</v>
      </c>
      <c r="I14" s="40">
        <f t="shared" si="2"/>
        <v>64000000</v>
      </c>
      <c r="J14" s="41">
        <f t="shared" si="3"/>
        <v>-326.575956162041</v>
      </c>
    </row>
    <row r="15" spans="4:10">
      <c r="D15" s="12" t="e">
        <f>IF(E15="","",'TM-21 Inputs'!#REF!)</f>
        <v>#REF!</v>
      </c>
      <c r="E15" s="13">
        <f>IF(OR('TM-21 Inputs'!$I$19="",'TM-21 Inputs'!$I$21=""),"-",IF(OR('TM-21 Inputs'!N19="",'TM-21 Inputs'!L19=""),"",IF(OR(AND('TM-21 Inputs'!$I$19&gt;=6000,'TM-21 Inputs'!$I$19&lt;=10000,'TM-21 Inputs'!N19&gt;='TM-21 Inputs'!$I$19-5000),AND('TM-21 Inputs'!$I$19&gt;10000,OR('TM-21 Inputs'!N19&gt;=0.5*'TM-21 Inputs'!$I$19,'TM-21 Inputs'!N19=SMALL('TM-21 Inputs'!$N$10:$N$29,COUNTIF('TM-21 Inputs'!$N$10:$N$29,"&lt;"&amp;(0.5*'TM-21 Inputs'!$I$19)+1))))),'TM-21 Inputs'!N19,"")))</f>
        <v>9000</v>
      </c>
      <c r="F15" s="14">
        <f>IF(E15="","",'TM-21 Inputs'!O19)</f>
        <v>0.961</v>
      </c>
      <c r="G15" s="15">
        <f t="shared" si="0"/>
        <v>-0.0397808700118446</v>
      </c>
      <c r="H15" s="16">
        <f t="shared" si="1"/>
        <v>-358.027830106601</v>
      </c>
      <c r="I15" s="40">
        <f t="shared" si="2"/>
        <v>81000000</v>
      </c>
      <c r="J15" s="41">
        <f t="shared" si="3"/>
        <v>-358.027830106601</v>
      </c>
    </row>
    <row r="16" spans="4:10">
      <c r="D16" s="12" t="e">
        <f>IF(E16="","",'TM-21 Inputs'!#REF!)</f>
        <v>#REF!</v>
      </c>
      <c r="E16" s="13">
        <f>IF(OR('TM-21 Inputs'!$I$19="",'TM-21 Inputs'!$I$21=""),"-",IF(OR('TM-21 Inputs'!N20="",'TM-21 Inputs'!L20=""),"",IF(OR(AND('TM-21 Inputs'!$I$19&gt;=6000,'TM-21 Inputs'!$I$19&lt;=10000,'TM-21 Inputs'!N20&gt;='TM-21 Inputs'!$I$19-5000),AND('TM-21 Inputs'!$I$19&gt;10000,OR('TM-21 Inputs'!N20&gt;=0.5*'TM-21 Inputs'!$I$19,'TM-21 Inputs'!N20=SMALL('TM-21 Inputs'!$N$10:$N$29,COUNTIF('TM-21 Inputs'!$N$10:$N$29,"&lt;"&amp;(0.5*'TM-21 Inputs'!$I$19)+1))))),'TM-21 Inputs'!N20,"")))</f>
        <v>10000</v>
      </c>
      <c r="F16" s="14">
        <f>IF(E16="","",'TM-21 Inputs'!O20)</f>
        <v>0.956</v>
      </c>
      <c r="G16" s="15">
        <f t="shared" si="0"/>
        <v>-0.0449973659307358</v>
      </c>
      <c r="H16" s="16">
        <f t="shared" si="1"/>
        <v>-449.973659307358</v>
      </c>
      <c r="I16" s="40">
        <f t="shared" si="2"/>
        <v>100000000</v>
      </c>
      <c r="J16" s="41">
        <f t="shared" si="3"/>
        <v>-449.973659307358</v>
      </c>
    </row>
    <row r="17" spans="4:10">
      <c r="D17" s="12" t="e">
        <f>IF(E17="","",'TM-21 Inputs'!#REF!)</f>
        <v>#REF!</v>
      </c>
      <c r="E17" s="13">
        <f>IF(OR('TM-21 Inputs'!$I$19="",'TM-21 Inputs'!$I$21=""),"-",IF(OR('TM-21 Inputs'!N21="",'TM-21 Inputs'!L21=""),"",IF(OR(AND('TM-21 Inputs'!$I$19&gt;=6000,'TM-21 Inputs'!$I$19&lt;=10000,'TM-21 Inputs'!N21&gt;='TM-21 Inputs'!$I$19-5000),AND('TM-21 Inputs'!$I$19&gt;10000,OR('TM-21 Inputs'!N21&gt;=0.5*'TM-21 Inputs'!$I$19,'TM-21 Inputs'!N21=SMALL('TM-21 Inputs'!$N$10:$N$29,COUNTIF('TM-21 Inputs'!$N$10:$N$29,"&lt;"&amp;(0.5*'TM-21 Inputs'!$I$19)+1))))),'TM-21 Inputs'!N21,"")))</f>
        <v>11000</v>
      </c>
      <c r="F17" s="14">
        <f>IF(E17="","",'TM-21 Inputs'!O21)</f>
        <v>0.953</v>
      </c>
      <c r="G17" s="15">
        <f t="shared" si="0"/>
        <v>-0.048140375327935</v>
      </c>
      <c r="H17" s="16">
        <f t="shared" si="1"/>
        <v>-529.544128607285</v>
      </c>
      <c r="I17" s="40">
        <f t="shared" si="2"/>
        <v>121000000</v>
      </c>
      <c r="J17" s="41">
        <f t="shared" si="3"/>
        <v>-529.544128607285</v>
      </c>
    </row>
    <row r="18" spans="4:10">
      <c r="D18" s="12" t="e">
        <f>IF(E18="","",'TM-21 Inputs'!#REF!)</f>
        <v>#REF!</v>
      </c>
      <c r="E18" s="13">
        <f>IF(OR('TM-21 Inputs'!$I$19="",'TM-21 Inputs'!$I$21=""),"-",IF(OR('TM-21 Inputs'!N22="",'TM-21 Inputs'!L22=""),"",IF(OR(AND('TM-21 Inputs'!$I$19&gt;=6000,'TM-21 Inputs'!$I$19&lt;=10000,'TM-21 Inputs'!N22&gt;='TM-21 Inputs'!$I$19-5000),AND('TM-21 Inputs'!$I$19&gt;10000,OR('TM-21 Inputs'!N22&gt;=0.5*'TM-21 Inputs'!$I$19,'TM-21 Inputs'!N22=SMALL('TM-21 Inputs'!$N$10:$N$29,COUNTIF('TM-21 Inputs'!$N$10:$N$29,"&lt;"&amp;(0.5*'TM-21 Inputs'!$I$19)+1))))),'TM-21 Inputs'!N22,"")))</f>
        <v>12000</v>
      </c>
      <c r="F18" s="14">
        <f>IF(E18="","",'TM-21 Inputs'!O22)</f>
        <v>0.95</v>
      </c>
      <c r="G18" s="15">
        <f t="shared" si="0"/>
        <v>-0.0512932943875506</v>
      </c>
      <c r="H18" s="16">
        <f t="shared" si="1"/>
        <v>-615.519532650607</v>
      </c>
      <c r="I18" s="40">
        <f t="shared" si="2"/>
        <v>144000000</v>
      </c>
      <c r="J18" s="41">
        <f t="shared" si="3"/>
        <v>-615.519532650607</v>
      </c>
    </row>
    <row r="19" spans="4:10">
      <c r="D19" s="12" t="str">
        <f>IF(E19="","",'TM-21 Inputs'!#REF!)</f>
        <v/>
      </c>
      <c r="E19" s="13" t="str">
        <f>IF(OR('TM-21 Inputs'!$I$19="",'TM-21 Inputs'!$I$21=""),"-",IF(OR('TM-21 Inputs'!N23="",'TM-21 Inputs'!L23=""),"",IF(OR(AND('TM-21 Inputs'!$I$19&gt;=6000,'TM-21 Inputs'!$I$19&lt;=10000,'TM-21 Inputs'!N23&gt;='TM-21 Inputs'!$I$19-5000),AND('TM-21 Inputs'!$I$19&gt;10000,OR('TM-21 Inputs'!N23&gt;=0.5*'TM-21 Inputs'!$I$19,'TM-21 Inputs'!N23=SMALL('TM-21 Inputs'!$N$10:$N$29,COUNTIF('TM-21 Inputs'!$N$10:$N$29,"&lt;"&amp;(0.5*'TM-21 Inputs'!$I$19)+1))))),'TM-21 Inputs'!N23,"")))</f>
        <v/>
      </c>
      <c r="F19" s="14" t="str">
        <f>IF(E19="","",'TM-21 Inputs'!O23)</f>
        <v/>
      </c>
      <c r="G19" s="15" t="str">
        <f t="shared" si="0"/>
        <v/>
      </c>
      <c r="H19" s="16" t="str">
        <f t="shared" si="1"/>
        <v/>
      </c>
      <c r="I19" s="40" t="str">
        <f t="shared" si="2"/>
        <v/>
      </c>
      <c r="J19" s="41" t="str">
        <f t="shared" si="3"/>
        <v/>
      </c>
    </row>
    <row r="20" spans="4:10">
      <c r="D20" s="12" t="str">
        <f>IF(E20="","",'TM-21 Inputs'!#REF!)</f>
        <v/>
      </c>
      <c r="E20" s="13" t="str">
        <f>IF(OR('TM-21 Inputs'!$I$19="",'TM-21 Inputs'!$I$21=""),"-",IF(OR('TM-21 Inputs'!N24="",'TM-21 Inputs'!L24=""),"",IF(OR(AND('TM-21 Inputs'!$I$19&gt;=6000,'TM-21 Inputs'!$I$19&lt;=10000,'TM-21 Inputs'!N24&gt;='TM-21 Inputs'!$I$19-5000),AND('TM-21 Inputs'!$I$19&gt;10000,OR('TM-21 Inputs'!N24&gt;=0.5*'TM-21 Inputs'!$I$19,'TM-21 Inputs'!N24=SMALL('TM-21 Inputs'!$N$10:$N$29,COUNTIF('TM-21 Inputs'!$N$10:$N$29,"&lt;"&amp;(0.5*'TM-21 Inputs'!$I$19)+1))))),'TM-21 Inputs'!N24,"")))</f>
        <v/>
      </c>
      <c r="F20" s="14" t="str">
        <f>IF(E20="","",'TM-21 Inputs'!O24)</f>
        <v/>
      </c>
      <c r="G20" s="15" t="str">
        <f t="shared" si="0"/>
        <v/>
      </c>
      <c r="H20" s="16" t="str">
        <f t="shared" si="1"/>
        <v/>
      </c>
      <c r="I20" s="40" t="str">
        <f t="shared" si="2"/>
        <v/>
      </c>
      <c r="J20" s="41" t="str">
        <f t="shared" si="3"/>
        <v/>
      </c>
    </row>
    <row r="21" spans="4:10">
      <c r="D21" s="12" t="str">
        <f>IF(E21="","",'TM-21 Inputs'!#REF!)</f>
        <v/>
      </c>
      <c r="E21" s="13" t="str">
        <f>IF(OR('TM-21 Inputs'!$I$19="",'TM-21 Inputs'!$I$21=""),"-",IF(OR('TM-21 Inputs'!N25="",'TM-21 Inputs'!L25=""),"",IF(OR(AND('TM-21 Inputs'!$I$19&gt;=6000,'TM-21 Inputs'!$I$19&lt;=10000,'TM-21 Inputs'!N25&gt;='TM-21 Inputs'!$I$19-5000),AND('TM-21 Inputs'!$I$19&gt;10000,OR('TM-21 Inputs'!N25&gt;=0.5*'TM-21 Inputs'!$I$19,'TM-21 Inputs'!N25=SMALL('TM-21 Inputs'!$N$10:$N$29,COUNTIF('TM-21 Inputs'!$N$10:$N$29,"&lt;"&amp;(0.5*'TM-21 Inputs'!$I$19)+1))))),'TM-21 Inputs'!N25,"")))</f>
        <v/>
      </c>
      <c r="F21" s="14" t="str">
        <f>IF(E21="","",'TM-21 Inputs'!O25)</f>
        <v/>
      </c>
      <c r="G21" s="15" t="str">
        <f t="shared" si="0"/>
        <v/>
      </c>
      <c r="H21" s="16" t="str">
        <f t="shared" si="1"/>
        <v/>
      </c>
      <c r="I21" s="40" t="str">
        <f t="shared" si="2"/>
        <v/>
      </c>
      <c r="J21" s="41" t="str">
        <f t="shared" si="3"/>
        <v/>
      </c>
    </row>
    <row r="22" spans="4:10">
      <c r="D22" s="12" t="str">
        <f>IF(E22="","",'TM-21 Inputs'!#REF!)</f>
        <v/>
      </c>
      <c r="E22" s="13" t="str">
        <f>IF(OR('TM-21 Inputs'!$I$19="",'TM-21 Inputs'!$I$21=""),"-",IF(OR('TM-21 Inputs'!N26="",'TM-21 Inputs'!L26=""),"",IF(OR(AND('TM-21 Inputs'!$I$19&gt;=6000,'TM-21 Inputs'!$I$19&lt;=10000,'TM-21 Inputs'!N26&gt;='TM-21 Inputs'!$I$19-5000),AND('TM-21 Inputs'!$I$19&gt;10000,OR('TM-21 Inputs'!N26&gt;=0.5*'TM-21 Inputs'!$I$19,'TM-21 Inputs'!N26=SMALL('TM-21 Inputs'!$N$10:$N$29,COUNTIF('TM-21 Inputs'!$N$10:$N$29,"&lt;"&amp;(0.5*'TM-21 Inputs'!$I$19)+1))))),'TM-21 Inputs'!N26,"")))</f>
        <v/>
      </c>
      <c r="F22" s="14" t="str">
        <f>IF(E22="","",'TM-21 Inputs'!O26)</f>
        <v/>
      </c>
      <c r="G22" s="15" t="str">
        <f t="shared" si="0"/>
        <v/>
      </c>
      <c r="H22" s="16" t="str">
        <f t="shared" si="1"/>
        <v/>
      </c>
      <c r="I22" s="40" t="str">
        <f t="shared" si="2"/>
        <v/>
      </c>
      <c r="J22" s="41" t="str">
        <f t="shared" si="3"/>
        <v/>
      </c>
    </row>
    <row r="23" spans="4:10">
      <c r="D23" s="12" t="str">
        <f>IF(E23="","",'TM-21 Inputs'!#REF!)</f>
        <v/>
      </c>
      <c r="E23" s="13" t="str">
        <f>IF(OR('TM-21 Inputs'!$I$19="",'TM-21 Inputs'!$I$21=""),"-",IF(OR('TM-21 Inputs'!N27="",'TM-21 Inputs'!L27=""),"",IF(OR(AND('TM-21 Inputs'!$I$19&gt;=6000,'TM-21 Inputs'!$I$19&lt;=10000,'TM-21 Inputs'!N27&gt;='TM-21 Inputs'!$I$19-5000),AND('TM-21 Inputs'!$I$19&gt;10000,OR('TM-21 Inputs'!N27&gt;=0.5*'TM-21 Inputs'!$I$19,'TM-21 Inputs'!N27=SMALL('TM-21 Inputs'!$N$10:$N$29,COUNTIF('TM-21 Inputs'!$N$10:$N$29,"&lt;"&amp;(0.5*'TM-21 Inputs'!$I$19)+1))))),'TM-21 Inputs'!N27,"")))</f>
        <v/>
      </c>
      <c r="F23" s="14" t="str">
        <f>IF(E23="","",'TM-21 Inputs'!O27)</f>
        <v/>
      </c>
      <c r="G23" s="15" t="str">
        <f t="shared" si="0"/>
        <v/>
      </c>
      <c r="H23" s="16" t="str">
        <f t="shared" si="1"/>
        <v/>
      </c>
      <c r="I23" s="40" t="str">
        <f t="shared" si="2"/>
        <v/>
      </c>
      <c r="J23" s="41" t="str">
        <f t="shared" si="3"/>
        <v/>
      </c>
    </row>
    <row r="24" spans="4:10">
      <c r="D24" s="12" t="str">
        <f>IF(E24="","",'TM-21 Inputs'!#REF!)</f>
        <v/>
      </c>
      <c r="E24" s="13" t="str">
        <f>IF(OR('TM-21 Inputs'!$I$19="",'TM-21 Inputs'!$I$21=""),"-",IF(OR('TM-21 Inputs'!N28="",'TM-21 Inputs'!L28=""),"",IF(OR(AND('TM-21 Inputs'!$I$19&gt;=6000,'TM-21 Inputs'!$I$19&lt;=10000,'TM-21 Inputs'!N28&gt;='TM-21 Inputs'!$I$19-5000),AND('TM-21 Inputs'!$I$19&gt;10000,OR('TM-21 Inputs'!N28&gt;=0.5*'TM-21 Inputs'!$I$19,'TM-21 Inputs'!N28=SMALL('TM-21 Inputs'!$N$10:$N$29,COUNTIF('TM-21 Inputs'!$N$10:$N$29,"&lt;"&amp;(0.5*'TM-21 Inputs'!$I$19)+1))))),'TM-21 Inputs'!N28,"")))</f>
        <v/>
      </c>
      <c r="F24" s="14" t="str">
        <f>IF(E24="","",'TM-21 Inputs'!O28)</f>
        <v/>
      </c>
      <c r="G24" s="15" t="str">
        <f t="shared" si="0"/>
        <v/>
      </c>
      <c r="H24" s="16" t="str">
        <f t="shared" si="1"/>
        <v/>
      </c>
      <c r="I24" s="40" t="str">
        <f t="shared" si="2"/>
        <v/>
      </c>
      <c r="J24" s="41" t="str">
        <f t="shared" si="3"/>
        <v/>
      </c>
    </row>
    <row r="25" spans="4:10">
      <c r="D25" s="17" t="str">
        <f>IF(E25="","",'TM-21 Inputs'!#REF!)</f>
        <v/>
      </c>
      <c r="E25" s="18" t="str">
        <f>IF(OR('TM-21 Inputs'!$I$19="",'TM-21 Inputs'!$I$21=""),"-",IF(OR('TM-21 Inputs'!N29="",'TM-21 Inputs'!L29=""),"",IF(OR(AND('TM-21 Inputs'!$I$19&gt;=6000,'TM-21 Inputs'!$I$19&lt;=10000,'TM-21 Inputs'!N29&gt;='TM-21 Inputs'!$I$19-5000),AND('TM-21 Inputs'!$I$19&gt;10000,OR('TM-21 Inputs'!N29&gt;=0.5*'TM-21 Inputs'!$I$19,'TM-21 Inputs'!N29=SMALL('TM-21 Inputs'!$N$10:$N$29,COUNTIF('TM-21 Inputs'!$N$10:$N$29,"&lt;"&amp;(0.5*'TM-21 Inputs'!$I$19)+1))))),'TM-21 Inputs'!N29,"")))</f>
        <v/>
      </c>
      <c r="F25" s="19" t="str">
        <f>IF(E25="","",'TM-21 Inputs'!O29)</f>
        <v/>
      </c>
      <c r="G25" s="20" t="str">
        <f t="shared" si="0"/>
        <v/>
      </c>
      <c r="H25" s="21" t="str">
        <f t="shared" si="1"/>
        <v/>
      </c>
      <c r="I25" s="42" t="str">
        <f t="shared" si="2"/>
        <v/>
      </c>
      <c r="J25" s="43" t="str">
        <f t="shared" si="3"/>
        <v/>
      </c>
    </row>
    <row r="26" ht="14.25" spans="4:10">
      <c r="D26" s="22" t="s">
        <v>98</v>
      </c>
      <c r="E26" s="23">
        <f t="shared" ref="E26:J26" si="4">SUM(E6:E25)</f>
        <v>63000</v>
      </c>
      <c r="F26" s="24">
        <f t="shared" si="4"/>
        <v>6.717</v>
      </c>
      <c r="G26" s="25">
        <f t="shared" si="4"/>
        <v>-0.289069081346045</v>
      </c>
      <c r="H26" s="26">
        <f t="shared" si="4"/>
        <v>-2700.51617821182</v>
      </c>
      <c r="I26" s="44">
        <f t="shared" si="4"/>
        <v>595000000</v>
      </c>
      <c r="J26" s="45">
        <f t="shared" si="4"/>
        <v>-2700.51617821182</v>
      </c>
    </row>
    <row r="27" ht="14.25"/>
    <row r="28" ht="14.25" spans="5:6">
      <c r="E28" s="2" t="s">
        <v>22</v>
      </c>
      <c r="F28" s="27"/>
    </row>
    <row r="29" spans="5:6">
      <c r="E29" s="28" t="s">
        <v>99</v>
      </c>
      <c r="F29" s="29">
        <f>IF('TM-21 Inputs'!I22="","",((COUNTIF(E6:E25,"&gt;"&amp;0)*H26-(E26*G26))/((COUNTIF(E6:E25,"&gt;"&amp;0)*I26)-(E26^2))))</f>
        <v>-3.53194450347943e-6</v>
      </c>
    </row>
    <row r="30" spans="5:6">
      <c r="E30" s="30" t="s">
        <v>100</v>
      </c>
      <c r="F30" s="31">
        <f>IF('TM-21 Inputs'!I22="","",(G26-(F29*E26))/COUNTIF(E6:E25,"&gt;"&amp;0))</f>
        <v>-0.00950808251812007</v>
      </c>
    </row>
    <row r="31" ht="15" spans="5:6">
      <c r="E31" s="32" t="s">
        <v>58</v>
      </c>
      <c r="F31" s="31">
        <f>IF('TM-21 Inputs'!I22="","",-F29)</f>
        <v>3.53194450347943e-6</v>
      </c>
    </row>
    <row r="32" spans="5:6">
      <c r="E32" s="30" t="s">
        <v>59</v>
      </c>
      <c r="F32" s="31">
        <f>IF('TM-21 Inputs'!I22="","",EXP(F30))</f>
        <v>0.990536976377486</v>
      </c>
    </row>
    <row r="33" ht="30" customHeight="1" spans="5:6">
      <c r="E33" s="33" t="str">
        <f>CONCATENATE("Calculated L",'TM-21 Inputs'!I35," (hrs):")</f>
        <v>Calculated L90 (hrs):</v>
      </c>
      <c r="F33" s="34">
        <f>IF('TM-21 Inputs'!I22="","",ROUND((LN(F32/('TM-21 Inputs'!$I$35/100))/F31),-3))</f>
        <v>27000</v>
      </c>
    </row>
    <row r="34" ht="27.75" spans="5:6">
      <c r="E34" s="35" t="str">
        <f>CONCATENATE("Reported L",'TM-21 Inputs'!I35," (hrs):")</f>
        <v>Reported L90 (hrs):</v>
      </c>
      <c r="F34" s="36">
        <f>IF('TM-21 Inputs'!I22="","",IF(OR(AND('TM-21 Inputs'!$I$18&gt;=20,$F$33&lt;6*'TM-21 Inputs'!$I$19),AND('TM-21 Inputs'!$I$18&gt;=10,'TM-21 Inputs'!$I$18&lt;=19,$F$33&lt;5.5*'TM-21 Inputs'!$I$19)),ROUND(F33,-3),IF('TM-21 Inputs'!$I$18&gt;=20,CONCATENATE("&gt;",ROUND((6*'TM-21 Inputs'!$I$19),-3)),IF(AND('TM-21 Inputs'!$I$18&gt;=10,'TM-21 Inputs'!$I$18&lt;=19),CONCATENATE("&gt;",ROUND((5.5*'TM-21 Inputs'!$I$19),-3)),"error"))))</f>
        <v>27000</v>
      </c>
    </row>
  </sheetData>
  <sheetProtection password="C696" sheet="1" objects="1" scenarios="1"/>
  <mergeCells count="2">
    <mergeCell ref="D4:J4"/>
    <mergeCell ref="E28:F28"/>
  </mergeCells>
  <pageMargins left="0.7" right="0.7" top="0.75" bottom="0.75" header="0.3" footer="0.3"/>
  <pageSetup paperSize="1" orientation="portrait"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C000"/>
  </sheetPr>
  <dimension ref="D3:J34"/>
  <sheetViews>
    <sheetView topLeftCell="A10" workbookViewId="0">
      <selection activeCell="G26" sqref="G26"/>
    </sheetView>
  </sheetViews>
  <sheetFormatPr defaultColWidth="9.10833333333333" defaultRowHeight="13.5"/>
  <cols>
    <col min="1" max="1" width="17" style="1" customWidth="1"/>
    <col min="2" max="3" width="9.10833333333333" style="1"/>
    <col min="4" max="4" width="6.44166666666667" style="1" customWidth="1"/>
    <col min="5" max="5" width="12.8833333333333" style="1" customWidth="1"/>
    <col min="6" max="6" width="17.8833333333333" style="1" customWidth="1"/>
    <col min="7" max="7" width="27.4416666666667" style="1" customWidth="1"/>
    <col min="8" max="8" width="12.4416666666667" style="1" customWidth="1"/>
    <col min="9" max="9" width="11.1083333333333" style="1" customWidth="1"/>
    <col min="10" max="16384" width="9.10833333333333" style="1"/>
  </cols>
  <sheetData>
    <row r="3" ht="14.25"/>
    <row r="4" ht="15" customHeight="1" spans="4:10">
      <c r="D4" s="2" t="str">
        <f>IF('TM-21 Inputs'!I23="","Insert Case Temperature 3",CONCATENATE("Test Data for ",'TM-21 Inputs'!I23,"⁰C Case Temperature"))</f>
        <v>Insert Case Temperature 3</v>
      </c>
      <c r="E4" s="3"/>
      <c r="F4" s="3"/>
      <c r="G4" s="3"/>
      <c r="H4" s="3"/>
      <c r="I4" s="3"/>
      <c r="J4" s="27"/>
    </row>
    <row r="5" ht="60" customHeight="1" spans="4:10">
      <c r="D5" s="4" t="s">
        <v>91</v>
      </c>
      <c r="E5" s="5" t="s">
        <v>92</v>
      </c>
      <c r="F5" s="6" t="s">
        <v>93</v>
      </c>
      <c r="G5" s="6" t="s">
        <v>94</v>
      </c>
      <c r="H5" s="6" t="s">
        <v>95</v>
      </c>
      <c r="I5" s="6" t="s">
        <v>96</v>
      </c>
      <c r="J5" s="37" t="s">
        <v>97</v>
      </c>
    </row>
    <row r="6" spans="4:10">
      <c r="D6" s="7" t="str">
        <f>IF(E6="","",'TM-21 Inputs'!#REF!)</f>
        <v/>
      </c>
      <c r="E6" s="8" t="str">
        <f>IF(OR('TM-21 Inputs'!$I$19="",'TM-21 Inputs'!$I$21=""),"-",IF(OR('TM-21 Inputs'!Q10="",'TM-21 Inputs'!L10=""),"",IF(OR(AND('TM-21 Inputs'!$I$19&gt;=6000,'TM-21 Inputs'!$I$19&lt;=10000,'TM-21 Inputs'!Q10&gt;='TM-21 Inputs'!$I$19-5000),AND('TM-21 Inputs'!$I$19&gt;10000,OR('TM-21 Inputs'!Q10&gt;=0.5*'TM-21 Inputs'!$I$19,'TM-21 Inputs'!Q10=SMALL('TM-21 Inputs'!$Q$10:$Q$29,COUNTIF('TM-21 Inputs'!$Q$10:$Q$29,"&lt;"&amp;(0.5*'TM-21 Inputs'!$I$19)+1))))),'TM-21 Inputs'!Q10,"")))</f>
        <v/>
      </c>
      <c r="F6" s="9" t="str">
        <f>IF(E6="","",'TM-21 Inputs'!R10)</f>
        <v/>
      </c>
      <c r="G6" s="10" t="str">
        <f>IF(E6="","",LN(F6))</f>
        <v/>
      </c>
      <c r="H6" s="11" t="str">
        <f>IF(E6="","",(G6*E6))</f>
        <v/>
      </c>
      <c r="I6" s="38" t="str">
        <f>IF(E6="","",E6^2)</f>
        <v/>
      </c>
      <c r="J6" s="39" t="str">
        <f>IF(E6="","",E6*G6)</f>
        <v/>
      </c>
    </row>
    <row r="7" spans="4:10">
      <c r="D7" s="12" t="str">
        <f>IF(E7="","",'TM-21 Inputs'!#REF!)</f>
        <v/>
      </c>
      <c r="E7" s="13" t="str">
        <f>IF(OR('TM-21 Inputs'!$I$19="",'TM-21 Inputs'!$I$21=""),"-",IF(OR('TM-21 Inputs'!Q11="",'TM-21 Inputs'!L11=""),"",IF(OR(AND('TM-21 Inputs'!$I$19&gt;=6000,'TM-21 Inputs'!$I$19&lt;=10000,'TM-21 Inputs'!Q11&gt;='TM-21 Inputs'!$I$19-5000),AND('TM-21 Inputs'!$I$19&gt;10000,OR('TM-21 Inputs'!Q11&gt;=0.5*'TM-21 Inputs'!$I$19,'TM-21 Inputs'!Q11=SMALL('TM-21 Inputs'!$Q$10:$Q$29,COUNTIF('TM-21 Inputs'!$Q$10:$Q$29,"&lt;"&amp;(0.5*'TM-21 Inputs'!$I$19)+1))))),'TM-21 Inputs'!Q11,"")))</f>
        <v/>
      </c>
      <c r="F7" s="14" t="str">
        <f>IF(E7="","",'TM-21 Inputs'!R11)</f>
        <v/>
      </c>
      <c r="G7" s="15" t="str">
        <f t="shared" ref="G7:G25" si="0">IF(E7="","",LN(F7))</f>
        <v/>
      </c>
      <c r="H7" s="16" t="str">
        <f t="shared" ref="H7:H25" si="1">IF(E7="","",(G7*E7))</f>
        <v/>
      </c>
      <c r="I7" s="40" t="str">
        <f t="shared" ref="I7:I25" si="2">IF(E7="","",E7^2)</f>
        <v/>
      </c>
      <c r="J7" s="41" t="str">
        <f t="shared" ref="J7:J25" si="3">IF(E7="","",E7*G7)</f>
        <v/>
      </c>
    </row>
    <row r="8" spans="4:10">
      <c r="D8" s="12" t="str">
        <f>IF(E8="","",'TM-21 Inputs'!#REF!)</f>
        <v/>
      </c>
      <c r="E8" s="13" t="str">
        <f>IF(OR('TM-21 Inputs'!$I$19="",'TM-21 Inputs'!$I$21=""),"-",IF(OR('TM-21 Inputs'!Q12="",'TM-21 Inputs'!L12=""),"",IF(OR(AND('TM-21 Inputs'!$I$19&gt;=6000,'TM-21 Inputs'!$I$19&lt;=10000,'TM-21 Inputs'!Q12&gt;='TM-21 Inputs'!$I$19-5000),AND('TM-21 Inputs'!$I$19&gt;10000,OR('TM-21 Inputs'!Q12&gt;=0.5*'TM-21 Inputs'!$I$19,'TM-21 Inputs'!Q12=SMALL('TM-21 Inputs'!$Q$10:$Q$29,COUNTIF('TM-21 Inputs'!$Q$10:$Q$29,"&lt;"&amp;(0.5*'TM-21 Inputs'!$I$19)+1))))),'TM-21 Inputs'!Q12,"")))</f>
        <v/>
      </c>
      <c r="F8" s="14" t="str">
        <f>IF(E8="","",'TM-21 Inputs'!R12)</f>
        <v/>
      </c>
      <c r="G8" s="15" t="str">
        <f t="shared" si="0"/>
        <v/>
      </c>
      <c r="H8" s="16" t="str">
        <f t="shared" si="1"/>
        <v/>
      </c>
      <c r="I8" s="40" t="str">
        <f t="shared" si="2"/>
        <v/>
      </c>
      <c r="J8" s="41" t="str">
        <f t="shared" si="3"/>
        <v/>
      </c>
    </row>
    <row r="9" spans="4:10">
      <c r="D9" s="12" t="str">
        <f>IF(E9="","",'TM-21 Inputs'!#REF!)</f>
        <v/>
      </c>
      <c r="E9" s="13" t="str">
        <f>IF(OR('TM-21 Inputs'!$I$19="",'TM-21 Inputs'!$I$21=""),"-",IF(OR('TM-21 Inputs'!Q13="",'TM-21 Inputs'!L13=""),"",IF(OR(AND('TM-21 Inputs'!$I$19&gt;=6000,'TM-21 Inputs'!$I$19&lt;=10000,'TM-21 Inputs'!Q13&gt;='TM-21 Inputs'!$I$19-5000),AND('TM-21 Inputs'!$I$19&gt;10000,OR('TM-21 Inputs'!Q13&gt;=0.5*'TM-21 Inputs'!$I$19,'TM-21 Inputs'!Q13=SMALL('TM-21 Inputs'!$Q$10:$Q$29,COUNTIF('TM-21 Inputs'!$Q$10:$Q$29,"&lt;"&amp;(0.5*'TM-21 Inputs'!$I$19)+1))))),'TM-21 Inputs'!Q13,"")))</f>
        <v/>
      </c>
      <c r="F9" s="14" t="str">
        <f>IF(E9="","",'TM-21 Inputs'!R13)</f>
        <v/>
      </c>
      <c r="G9" s="15" t="str">
        <f t="shared" si="0"/>
        <v/>
      </c>
      <c r="H9" s="16" t="str">
        <f t="shared" si="1"/>
        <v/>
      </c>
      <c r="I9" s="40" t="str">
        <f t="shared" si="2"/>
        <v/>
      </c>
      <c r="J9" s="41" t="str">
        <f t="shared" si="3"/>
        <v/>
      </c>
    </row>
    <row r="10" spans="4:10">
      <c r="D10" s="12" t="str">
        <f>IF(E10="","",'TM-21 Inputs'!#REF!)</f>
        <v/>
      </c>
      <c r="E10" s="13" t="str">
        <f>IF(OR('TM-21 Inputs'!$I$19="",'TM-21 Inputs'!$I$21=""),"-",IF(OR('TM-21 Inputs'!Q14="",'TM-21 Inputs'!L14=""),"",IF(OR(AND('TM-21 Inputs'!$I$19&gt;=6000,'TM-21 Inputs'!$I$19&lt;=10000,'TM-21 Inputs'!Q14&gt;='TM-21 Inputs'!$I$19-5000),AND('TM-21 Inputs'!$I$19&gt;10000,OR('TM-21 Inputs'!Q14&gt;=0.5*'TM-21 Inputs'!$I$19,'TM-21 Inputs'!Q14=SMALL('TM-21 Inputs'!$Q$10:$Q$29,COUNTIF('TM-21 Inputs'!$Q$10:$Q$29,"&lt;"&amp;(0.5*'TM-21 Inputs'!$I$19)+1))))),'TM-21 Inputs'!Q14,"")))</f>
        <v/>
      </c>
      <c r="F10" s="14" t="str">
        <f>IF(E10="","",'TM-21 Inputs'!R14)</f>
        <v/>
      </c>
      <c r="G10" s="15" t="str">
        <f t="shared" si="0"/>
        <v/>
      </c>
      <c r="H10" s="16" t="str">
        <f t="shared" si="1"/>
        <v/>
      </c>
      <c r="I10" s="40" t="str">
        <f t="shared" si="2"/>
        <v/>
      </c>
      <c r="J10" s="41" t="str">
        <f t="shared" si="3"/>
        <v/>
      </c>
    </row>
    <row r="11" spans="4:10">
      <c r="D11" s="12" t="str">
        <f>IF(E11="","",'TM-21 Inputs'!#REF!)</f>
        <v/>
      </c>
      <c r="E11" s="13" t="str">
        <f>IF(OR('TM-21 Inputs'!$I$19="",'TM-21 Inputs'!$I$21=""),"-",IF(OR('TM-21 Inputs'!Q15="",'TM-21 Inputs'!L15=""),"",IF(OR(AND('TM-21 Inputs'!$I$19&gt;=6000,'TM-21 Inputs'!$I$19&lt;=10000,'TM-21 Inputs'!Q15&gt;='TM-21 Inputs'!$I$19-5000),AND('TM-21 Inputs'!$I$19&gt;10000,OR('TM-21 Inputs'!Q15&gt;=0.5*'TM-21 Inputs'!$I$19,'TM-21 Inputs'!Q15=SMALL('TM-21 Inputs'!$Q$10:$Q$29,COUNTIF('TM-21 Inputs'!$Q$10:$Q$29,"&lt;"&amp;(0.5*'TM-21 Inputs'!$I$19)+1))))),'TM-21 Inputs'!Q15,"")))</f>
        <v/>
      </c>
      <c r="F11" s="14" t="str">
        <f>IF(E11="","",'TM-21 Inputs'!R15)</f>
        <v/>
      </c>
      <c r="G11" s="15" t="str">
        <f t="shared" si="0"/>
        <v/>
      </c>
      <c r="H11" s="16" t="str">
        <f t="shared" si="1"/>
        <v/>
      </c>
      <c r="I11" s="40" t="str">
        <f t="shared" si="2"/>
        <v/>
      </c>
      <c r="J11" s="41" t="str">
        <f t="shared" si="3"/>
        <v/>
      </c>
    </row>
    <row r="12" spans="4:10">
      <c r="D12" s="12" t="str">
        <f>IF(E12="","",'TM-21 Inputs'!#REF!)</f>
        <v/>
      </c>
      <c r="E12" s="13" t="str">
        <f>IF(OR('TM-21 Inputs'!$I$19="",'TM-21 Inputs'!$I$21=""),"-",IF(OR('TM-21 Inputs'!Q16="",'TM-21 Inputs'!L16=""),"",IF(OR(AND('TM-21 Inputs'!$I$19&gt;=6000,'TM-21 Inputs'!$I$19&lt;=10000,'TM-21 Inputs'!Q16&gt;='TM-21 Inputs'!$I$19-5000),AND('TM-21 Inputs'!$I$19&gt;10000,OR('TM-21 Inputs'!Q16&gt;=0.5*'TM-21 Inputs'!$I$19,'TM-21 Inputs'!Q16=SMALL('TM-21 Inputs'!$Q$10:$Q$29,COUNTIF('TM-21 Inputs'!$Q$10:$Q$29,"&lt;"&amp;(0.5*'TM-21 Inputs'!$I$19)+1))))),'TM-21 Inputs'!Q16,"")))</f>
        <v/>
      </c>
      <c r="F12" s="14" t="str">
        <f>IF(E12="","",'TM-21 Inputs'!R16)</f>
        <v/>
      </c>
      <c r="G12" s="15" t="str">
        <f t="shared" si="0"/>
        <v/>
      </c>
      <c r="H12" s="16" t="str">
        <f t="shared" si="1"/>
        <v/>
      </c>
      <c r="I12" s="40" t="str">
        <f t="shared" si="2"/>
        <v/>
      </c>
      <c r="J12" s="41" t="str">
        <f t="shared" si="3"/>
        <v/>
      </c>
    </row>
    <row r="13" spans="4:10">
      <c r="D13" s="12" t="str">
        <f>IF(E13="","",'TM-21 Inputs'!#REF!)</f>
        <v/>
      </c>
      <c r="E13" s="13" t="str">
        <f>IF(OR('TM-21 Inputs'!$I$19="",'TM-21 Inputs'!$I$21=""),"-",IF(OR('TM-21 Inputs'!Q17="",'TM-21 Inputs'!L17=""),"",IF(OR(AND('TM-21 Inputs'!$I$19&gt;=6000,'TM-21 Inputs'!$I$19&lt;=10000,'TM-21 Inputs'!Q17&gt;='TM-21 Inputs'!$I$19-5000),AND('TM-21 Inputs'!$I$19&gt;10000,OR('TM-21 Inputs'!Q17&gt;=0.5*'TM-21 Inputs'!$I$19,'TM-21 Inputs'!Q17=SMALL('TM-21 Inputs'!$Q$10:$Q$29,COUNTIF('TM-21 Inputs'!$Q$10:$Q$29,"&lt;"&amp;(0.5*'TM-21 Inputs'!$I$19)+1))))),'TM-21 Inputs'!Q17,"")))</f>
        <v/>
      </c>
      <c r="F13" s="14" t="str">
        <f>IF(E13="","",'TM-21 Inputs'!R17)</f>
        <v/>
      </c>
      <c r="G13" s="15" t="str">
        <f t="shared" si="0"/>
        <v/>
      </c>
      <c r="H13" s="16" t="str">
        <f t="shared" si="1"/>
        <v/>
      </c>
      <c r="I13" s="40" t="str">
        <f t="shared" si="2"/>
        <v/>
      </c>
      <c r="J13" s="41" t="str">
        <f t="shared" si="3"/>
        <v/>
      </c>
    </row>
    <row r="14" spans="4:10">
      <c r="D14" s="12" t="str">
        <f>IF(E14="","",'TM-21 Inputs'!#REF!)</f>
        <v/>
      </c>
      <c r="E14" s="13" t="str">
        <f>IF(OR('TM-21 Inputs'!$I$19="",'TM-21 Inputs'!$I$21=""),"-",IF(OR('TM-21 Inputs'!Q18="",'TM-21 Inputs'!L18=""),"",IF(OR(AND('TM-21 Inputs'!$I$19&gt;=6000,'TM-21 Inputs'!$I$19&lt;=10000,'TM-21 Inputs'!Q18&gt;='TM-21 Inputs'!$I$19-5000),AND('TM-21 Inputs'!$I$19&gt;10000,OR('TM-21 Inputs'!Q18&gt;=0.5*'TM-21 Inputs'!$I$19,'TM-21 Inputs'!Q18=SMALL('TM-21 Inputs'!$Q$10:$Q$29,COUNTIF('TM-21 Inputs'!$Q$10:$Q$29,"&lt;"&amp;(0.5*'TM-21 Inputs'!$I$19)+1))))),'TM-21 Inputs'!Q18,"")))</f>
        <v/>
      </c>
      <c r="F14" s="14" t="str">
        <f>IF(E14="","",'TM-21 Inputs'!R18)</f>
        <v/>
      </c>
      <c r="G14" s="15" t="str">
        <f t="shared" si="0"/>
        <v/>
      </c>
      <c r="H14" s="16" t="str">
        <f t="shared" si="1"/>
        <v/>
      </c>
      <c r="I14" s="40" t="str">
        <f t="shared" si="2"/>
        <v/>
      </c>
      <c r="J14" s="41" t="str">
        <f t="shared" si="3"/>
        <v/>
      </c>
    </row>
    <row r="15" spans="4:10">
      <c r="D15" s="12" t="str">
        <f>IF(E15="","",'TM-21 Inputs'!#REF!)</f>
        <v/>
      </c>
      <c r="E15" s="13" t="str">
        <f>IF(OR('TM-21 Inputs'!$I$19="",'TM-21 Inputs'!$I$21=""),"-",IF(OR('TM-21 Inputs'!Q19="",'TM-21 Inputs'!L19=""),"",IF(OR(AND('TM-21 Inputs'!$I$19&gt;=6000,'TM-21 Inputs'!$I$19&lt;=10000,'TM-21 Inputs'!Q19&gt;='TM-21 Inputs'!$I$19-5000),AND('TM-21 Inputs'!$I$19&gt;10000,OR('TM-21 Inputs'!Q19&gt;=0.5*'TM-21 Inputs'!$I$19,'TM-21 Inputs'!Q19=SMALL('TM-21 Inputs'!$Q$10:$Q$29,COUNTIF('TM-21 Inputs'!$Q$10:$Q$29,"&lt;"&amp;(0.5*'TM-21 Inputs'!$I$19)+1))))),'TM-21 Inputs'!Q19,"")))</f>
        <v/>
      </c>
      <c r="F15" s="14" t="str">
        <f>IF(E15="","",'TM-21 Inputs'!R19)</f>
        <v/>
      </c>
      <c r="G15" s="15" t="str">
        <f t="shared" si="0"/>
        <v/>
      </c>
      <c r="H15" s="16" t="str">
        <f t="shared" si="1"/>
        <v/>
      </c>
      <c r="I15" s="40" t="str">
        <f t="shared" si="2"/>
        <v/>
      </c>
      <c r="J15" s="41" t="str">
        <f t="shared" si="3"/>
        <v/>
      </c>
    </row>
    <row r="16" spans="4:10">
      <c r="D16" s="12" t="str">
        <f>IF(E16="","",'TM-21 Inputs'!#REF!)</f>
        <v/>
      </c>
      <c r="E16" s="13" t="str">
        <f>IF(OR('TM-21 Inputs'!$I$19="",'TM-21 Inputs'!$I$21=""),"-",IF(OR('TM-21 Inputs'!Q20="",'TM-21 Inputs'!L20=""),"",IF(OR(AND('TM-21 Inputs'!$I$19&gt;=6000,'TM-21 Inputs'!$I$19&lt;=10000,'TM-21 Inputs'!Q20&gt;='TM-21 Inputs'!$I$19-5000),AND('TM-21 Inputs'!$I$19&gt;10000,OR('TM-21 Inputs'!Q20&gt;=0.5*'TM-21 Inputs'!$I$19,'TM-21 Inputs'!Q20=SMALL('TM-21 Inputs'!$Q$10:$Q$29,COUNTIF('TM-21 Inputs'!$Q$10:$Q$29,"&lt;"&amp;(0.5*'TM-21 Inputs'!$I$19)+1))))),'TM-21 Inputs'!Q20,"")))</f>
        <v/>
      </c>
      <c r="F16" s="14" t="str">
        <f>IF(E16="","",'TM-21 Inputs'!R20)</f>
        <v/>
      </c>
      <c r="G16" s="15" t="str">
        <f t="shared" si="0"/>
        <v/>
      </c>
      <c r="H16" s="16" t="str">
        <f t="shared" si="1"/>
        <v/>
      </c>
      <c r="I16" s="40" t="str">
        <f t="shared" si="2"/>
        <v/>
      </c>
      <c r="J16" s="41" t="str">
        <f t="shared" si="3"/>
        <v/>
      </c>
    </row>
    <row r="17" spans="4:10">
      <c r="D17" s="12" t="str">
        <f>IF(E17="","",'TM-21 Inputs'!#REF!)</f>
        <v/>
      </c>
      <c r="E17" s="13" t="str">
        <f>IF(OR('TM-21 Inputs'!$I$19="",'TM-21 Inputs'!$I$21=""),"-",IF(OR('TM-21 Inputs'!Q21="",'TM-21 Inputs'!L21=""),"",IF(OR(AND('TM-21 Inputs'!$I$19&gt;=6000,'TM-21 Inputs'!$I$19&lt;=10000,'TM-21 Inputs'!Q21&gt;='TM-21 Inputs'!$I$19-5000),AND('TM-21 Inputs'!$I$19&gt;10000,OR('TM-21 Inputs'!Q21&gt;=0.5*'TM-21 Inputs'!$I$19,'TM-21 Inputs'!Q21=SMALL('TM-21 Inputs'!$Q$10:$Q$29,COUNTIF('TM-21 Inputs'!$Q$10:$Q$29,"&lt;"&amp;(0.5*'TM-21 Inputs'!$I$19)+1))))),'TM-21 Inputs'!Q21,"")))</f>
        <v/>
      </c>
      <c r="F17" s="14" t="str">
        <f>IF(E17="","",'TM-21 Inputs'!R21)</f>
        <v/>
      </c>
      <c r="G17" s="15" t="str">
        <f t="shared" si="0"/>
        <v/>
      </c>
      <c r="H17" s="16" t="str">
        <f t="shared" si="1"/>
        <v/>
      </c>
      <c r="I17" s="40" t="str">
        <f t="shared" si="2"/>
        <v/>
      </c>
      <c r="J17" s="41" t="str">
        <f t="shared" si="3"/>
        <v/>
      </c>
    </row>
    <row r="18" spans="4:10">
      <c r="D18" s="12" t="str">
        <f>IF(E18="","",'TM-21 Inputs'!#REF!)</f>
        <v/>
      </c>
      <c r="E18" s="13" t="str">
        <f>IF(OR('TM-21 Inputs'!$I$19="",'TM-21 Inputs'!$I$21=""),"-",IF(OR('TM-21 Inputs'!Q22="",'TM-21 Inputs'!L22=""),"",IF(OR(AND('TM-21 Inputs'!$I$19&gt;=6000,'TM-21 Inputs'!$I$19&lt;=10000,'TM-21 Inputs'!Q22&gt;='TM-21 Inputs'!$I$19-5000),AND('TM-21 Inputs'!$I$19&gt;10000,OR('TM-21 Inputs'!Q22&gt;=0.5*'TM-21 Inputs'!$I$19,'TM-21 Inputs'!Q22=SMALL('TM-21 Inputs'!$Q$10:$Q$29,COUNTIF('TM-21 Inputs'!$Q$10:$Q$29,"&lt;"&amp;(0.5*'TM-21 Inputs'!$I$19)+1))))),'TM-21 Inputs'!Q22,"")))</f>
        <v/>
      </c>
      <c r="F18" s="14" t="str">
        <f>IF(E18="","",'TM-21 Inputs'!R22)</f>
        <v/>
      </c>
      <c r="G18" s="15" t="str">
        <f t="shared" si="0"/>
        <v/>
      </c>
      <c r="H18" s="16" t="str">
        <f t="shared" si="1"/>
        <v/>
      </c>
      <c r="I18" s="40" t="str">
        <f t="shared" si="2"/>
        <v/>
      </c>
      <c r="J18" s="41" t="str">
        <f t="shared" si="3"/>
        <v/>
      </c>
    </row>
    <row r="19" spans="4:10">
      <c r="D19" s="12" t="str">
        <f>IF(E19="","",'TM-21 Inputs'!#REF!)</f>
        <v/>
      </c>
      <c r="E19" s="13" t="str">
        <f>IF(OR('TM-21 Inputs'!$I$19="",'TM-21 Inputs'!$I$21=""),"-",IF(OR('TM-21 Inputs'!Q23="",'TM-21 Inputs'!L23=""),"",IF(OR(AND('TM-21 Inputs'!$I$19&gt;=6000,'TM-21 Inputs'!$I$19&lt;=10000,'TM-21 Inputs'!Q23&gt;='TM-21 Inputs'!$I$19-5000),AND('TM-21 Inputs'!$I$19&gt;10000,OR('TM-21 Inputs'!Q23&gt;=0.5*'TM-21 Inputs'!$I$19,'TM-21 Inputs'!Q23=SMALL('TM-21 Inputs'!$Q$10:$Q$29,COUNTIF('TM-21 Inputs'!$Q$10:$Q$29,"&lt;"&amp;(0.5*'TM-21 Inputs'!$I$19)+1))))),'TM-21 Inputs'!Q23,"")))</f>
        <v/>
      </c>
      <c r="F19" s="14" t="str">
        <f>IF(E19="","",'TM-21 Inputs'!R23)</f>
        <v/>
      </c>
      <c r="G19" s="15" t="str">
        <f t="shared" si="0"/>
        <v/>
      </c>
      <c r="H19" s="16" t="str">
        <f t="shared" si="1"/>
        <v/>
      </c>
      <c r="I19" s="40" t="str">
        <f t="shared" si="2"/>
        <v/>
      </c>
      <c r="J19" s="41" t="str">
        <f t="shared" si="3"/>
        <v/>
      </c>
    </row>
    <row r="20" spans="4:10">
      <c r="D20" s="12" t="str">
        <f>IF(E20="","",'TM-21 Inputs'!#REF!)</f>
        <v/>
      </c>
      <c r="E20" s="13" t="str">
        <f>IF(OR('TM-21 Inputs'!$I$19="",'TM-21 Inputs'!$I$21=""),"-",IF(OR('TM-21 Inputs'!Q24="",'TM-21 Inputs'!L24=""),"",IF(OR(AND('TM-21 Inputs'!$I$19&gt;=6000,'TM-21 Inputs'!$I$19&lt;=10000,'TM-21 Inputs'!Q24&gt;='TM-21 Inputs'!$I$19-5000),AND('TM-21 Inputs'!$I$19&gt;10000,OR('TM-21 Inputs'!Q24&gt;=0.5*'TM-21 Inputs'!$I$19,'TM-21 Inputs'!Q24=SMALL('TM-21 Inputs'!$Q$10:$Q$29,COUNTIF('TM-21 Inputs'!$Q$10:$Q$29,"&lt;"&amp;(0.5*'TM-21 Inputs'!$I$19)+1))))),'TM-21 Inputs'!Q24,"")))</f>
        <v/>
      </c>
      <c r="F20" s="14" t="str">
        <f>IF(E20="","",'TM-21 Inputs'!R24)</f>
        <v/>
      </c>
      <c r="G20" s="15" t="str">
        <f t="shared" si="0"/>
        <v/>
      </c>
      <c r="H20" s="16" t="str">
        <f t="shared" si="1"/>
        <v/>
      </c>
      <c r="I20" s="40" t="str">
        <f t="shared" si="2"/>
        <v/>
      </c>
      <c r="J20" s="41" t="str">
        <f t="shared" si="3"/>
        <v/>
      </c>
    </row>
    <row r="21" spans="4:10">
      <c r="D21" s="12" t="str">
        <f>IF(E21="","",'TM-21 Inputs'!#REF!)</f>
        <v/>
      </c>
      <c r="E21" s="13" t="str">
        <f>IF(OR('TM-21 Inputs'!$I$19="",'TM-21 Inputs'!$I$21=""),"-",IF(OR('TM-21 Inputs'!Q25="",'TM-21 Inputs'!L25=""),"",IF(OR(AND('TM-21 Inputs'!$I$19&gt;=6000,'TM-21 Inputs'!$I$19&lt;=10000,'TM-21 Inputs'!Q25&gt;='TM-21 Inputs'!$I$19-5000),AND('TM-21 Inputs'!$I$19&gt;10000,OR('TM-21 Inputs'!Q25&gt;=0.5*'TM-21 Inputs'!$I$19,'TM-21 Inputs'!Q25=SMALL('TM-21 Inputs'!$Q$10:$Q$29,COUNTIF('TM-21 Inputs'!$Q$10:$Q$29,"&lt;"&amp;(0.5*'TM-21 Inputs'!$I$19)+1))))),'TM-21 Inputs'!Q25,"")))</f>
        <v/>
      </c>
      <c r="F21" s="14" t="str">
        <f>IF(E21="","",'TM-21 Inputs'!R25)</f>
        <v/>
      </c>
      <c r="G21" s="15" t="str">
        <f t="shared" si="0"/>
        <v/>
      </c>
      <c r="H21" s="16" t="str">
        <f t="shared" si="1"/>
        <v/>
      </c>
      <c r="I21" s="40" t="str">
        <f t="shared" si="2"/>
        <v/>
      </c>
      <c r="J21" s="41" t="str">
        <f t="shared" si="3"/>
        <v/>
      </c>
    </row>
    <row r="22" spans="4:10">
      <c r="D22" s="12" t="str">
        <f>IF(E22="","",'TM-21 Inputs'!#REF!)</f>
        <v/>
      </c>
      <c r="E22" s="13" t="str">
        <f>IF(OR('TM-21 Inputs'!$I$19="",'TM-21 Inputs'!$I$21=""),"-",IF(OR('TM-21 Inputs'!Q26="",'TM-21 Inputs'!L26=""),"",IF(OR(AND('TM-21 Inputs'!$I$19&gt;=6000,'TM-21 Inputs'!$I$19&lt;=10000,'TM-21 Inputs'!Q26&gt;='TM-21 Inputs'!$I$19-5000),AND('TM-21 Inputs'!$I$19&gt;10000,OR('TM-21 Inputs'!Q26&gt;=0.5*'TM-21 Inputs'!$I$19,'TM-21 Inputs'!Q26=SMALL('TM-21 Inputs'!$Q$10:$Q$29,COUNTIF('TM-21 Inputs'!$Q$10:$Q$29,"&lt;"&amp;(0.5*'TM-21 Inputs'!$I$19)+1))))),'TM-21 Inputs'!Q26,"")))</f>
        <v/>
      </c>
      <c r="F22" s="14" t="str">
        <f>IF(E22="","",'TM-21 Inputs'!R26)</f>
        <v/>
      </c>
      <c r="G22" s="15" t="str">
        <f t="shared" si="0"/>
        <v/>
      </c>
      <c r="H22" s="16" t="str">
        <f t="shared" si="1"/>
        <v/>
      </c>
      <c r="I22" s="40" t="str">
        <f t="shared" si="2"/>
        <v/>
      </c>
      <c r="J22" s="41" t="str">
        <f t="shared" si="3"/>
        <v/>
      </c>
    </row>
    <row r="23" spans="4:10">
      <c r="D23" s="12" t="str">
        <f>IF(E23="","",'TM-21 Inputs'!#REF!)</f>
        <v/>
      </c>
      <c r="E23" s="13" t="str">
        <f>IF(OR('TM-21 Inputs'!$I$19="",'TM-21 Inputs'!$I$21=""),"-",IF(OR('TM-21 Inputs'!Q27="",'TM-21 Inputs'!L27=""),"",IF(OR(AND('TM-21 Inputs'!$I$19&gt;=6000,'TM-21 Inputs'!$I$19&lt;=10000,'TM-21 Inputs'!Q27&gt;='TM-21 Inputs'!$I$19-5000),AND('TM-21 Inputs'!$I$19&gt;10000,OR('TM-21 Inputs'!Q27&gt;=0.5*'TM-21 Inputs'!$I$19,'TM-21 Inputs'!Q27=SMALL('TM-21 Inputs'!$Q$10:$Q$29,COUNTIF('TM-21 Inputs'!$Q$10:$Q$29,"&lt;"&amp;(0.5*'TM-21 Inputs'!$I$19)+1))))),'TM-21 Inputs'!Q27,"")))</f>
        <v/>
      </c>
      <c r="F23" s="14" t="str">
        <f>IF(E23="","",'TM-21 Inputs'!R27)</f>
        <v/>
      </c>
      <c r="G23" s="15" t="str">
        <f t="shared" si="0"/>
        <v/>
      </c>
      <c r="H23" s="16" t="str">
        <f t="shared" si="1"/>
        <v/>
      </c>
      <c r="I23" s="40" t="str">
        <f t="shared" si="2"/>
        <v/>
      </c>
      <c r="J23" s="41" t="str">
        <f t="shared" si="3"/>
        <v/>
      </c>
    </row>
    <row r="24" spans="4:10">
      <c r="D24" s="12" t="str">
        <f>IF(E24="","",'TM-21 Inputs'!#REF!)</f>
        <v/>
      </c>
      <c r="E24" s="13" t="str">
        <f>IF(OR('TM-21 Inputs'!$I$19="",'TM-21 Inputs'!$I$21=""),"-",IF(OR('TM-21 Inputs'!Q28="",'TM-21 Inputs'!L28=""),"",IF(OR(AND('TM-21 Inputs'!$I$19&gt;=6000,'TM-21 Inputs'!$I$19&lt;=10000,'TM-21 Inputs'!Q28&gt;='TM-21 Inputs'!$I$19-5000),AND('TM-21 Inputs'!$I$19&gt;10000,OR('TM-21 Inputs'!Q28&gt;=0.5*'TM-21 Inputs'!$I$19,'TM-21 Inputs'!Q28=SMALL('TM-21 Inputs'!$Q$10:$Q$29,COUNTIF('TM-21 Inputs'!$Q$10:$Q$29,"&lt;"&amp;(0.5*'TM-21 Inputs'!$I$19)+1))))),'TM-21 Inputs'!Q28,"")))</f>
        <v/>
      </c>
      <c r="F24" s="14" t="str">
        <f>IF(E24="","",'TM-21 Inputs'!R28)</f>
        <v/>
      </c>
      <c r="G24" s="15" t="str">
        <f t="shared" si="0"/>
        <v/>
      </c>
      <c r="H24" s="16" t="str">
        <f t="shared" si="1"/>
        <v/>
      </c>
      <c r="I24" s="40" t="str">
        <f t="shared" si="2"/>
        <v/>
      </c>
      <c r="J24" s="41" t="str">
        <f t="shared" si="3"/>
        <v/>
      </c>
    </row>
    <row r="25" spans="4:10">
      <c r="D25" s="17" t="str">
        <f>IF(E25="","",'TM-21 Inputs'!#REF!)</f>
        <v/>
      </c>
      <c r="E25" s="18" t="str">
        <f>IF(OR('TM-21 Inputs'!$I$19="",'TM-21 Inputs'!$I$21=""),"-",IF(OR('TM-21 Inputs'!Q29="",'TM-21 Inputs'!L29=""),"",IF(OR(AND('TM-21 Inputs'!$I$19&gt;=6000,'TM-21 Inputs'!$I$19&lt;=10000,'TM-21 Inputs'!Q29&gt;='TM-21 Inputs'!$I$19-5000),AND('TM-21 Inputs'!$I$19&gt;10000,OR('TM-21 Inputs'!Q29&gt;=0.5*'TM-21 Inputs'!$I$19,'TM-21 Inputs'!Q29=SMALL('TM-21 Inputs'!$Q$10:$Q$29,COUNTIF('TM-21 Inputs'!$Q$10:$Q$29,"&lt;"&amp;(0.5*'TM-21 Inputs'!$I$19)+1))))),'TM-21 Inputs'!Q29,"")))</f>
        <v/>
      </c>
      <c r="F25" s="19" t="str">
        <f>IF(E25="","",'TM-21 Inputs'!R29)</f>
        <v/>
      </c>
      <c r="G25" s="20" t="str">
        <f t="shared" si="0"/>
        <v/>
      </c>
      <c r="H25" s="21" t="str">
        <f t="shared" si="1"/>
        <v/>
      </c>
      <c r="I25" s="42" t="str">
        <f t="shared" si="2"/>
        <v/>
      </c>
      <c r="J25" s="43" t="str">
        <f t="shared" si="3"/>
        <v/>
      </c>
    </row>
    <row r="26" ht="14.25" spans="4:10">
      <c r="D26" s="22" t="s">
        <v>98</v>
      </c>
      <c r="E26" s="23">
        <f t="shared" ref="E26:J26" si="4">SUM(E6:E25)</f>
        <v>0</v>
      </c>
      <c r="F26" s="24">
        <f t="shared" si="4"/>
        <v>0</v>
      </c>
      <c r="G26" s="25">
        <f t="shared" si="4"/>
        <v>0</v>
      </c>
      <c r="H26" s="26">
        <f t="shared" si="4"/>
        <v>0</v>
      </c>
      <c r="I26" s="44">
        <f t="shared" si="4"/>
        <v>0</v>
      </c>
      <c r="J26" s="45">
        <f t="shared" si="4"/>
        <v>0</v>
      </c>
    </row>
    <row r="27" ht="14.25"/>
    <row r="28" ht="14.25" spans="5:6">
      <c r="E28" s="2" t="s">
        <v>22</v>
      </c>
      <c r="F28" s="27"/>
    </row>
    <row r="29" spans="5:6">
      <c r="E29" s="28" t="s">
        <v>99</v>
      </c>
      <c r="F29" s="29" t="str">
        <f>IF('TM-21 Inputs'!I23="","",((COUNTIF(E6:E25,"&gt;"&amp;0)*H26-(E26*G26))/((COUNTIF(E6:E25,"&gt;"&amp;0)*I26)-(E26^2))))</f>
        <v/>
      </c>
    </row>
    <row r="30" spans="5:6">
      <c r="E30" s="30" t="s">
        <v>100</v>
      </c>
      <c r="F30" s="31" t="str">
        <f>IF('TM-21 Inputs'!I23="","",(G26-(F29*E26))/COUNTIF(E6:E25,"&gt;"&amp;0))</f>
        <v/>
      </c>
    </row>
    <row r="31" ht="15" spans="5:6">
      <c r="E31" s="32" t="s">
        <v>58</v>
      </c>
      <c r="F31" s="31" t="str">
        <f>IF('TM-21 Inputs'!I23="","",-F29)</f>
        <v/>
      </c>
    </row>
    <row r="32" spans="5:6">
      <c r="E32" s="30" t="s">
        <v>59</v>
      </c>
      <c r="F32" s="31" t="str">
        <f>IF('TM-21 Inputs'!I23="","",EXP(F30))</f>
        <v/>
      </c>
    </row>
    <row r="33" ht="30" customHeight="1" spans="5:6">
      <c r="E33" s="33" t="str">
        <f>CONCATENATE("Calculated L",'TM-21 Inputs'!I35," (hrs):")</f>
        <v>Calculated L90 (hrs):</v>
      </c>
      <c r="F33" s="34" t="str">
        <f>IF('TM-21 Inputs'!I23="","",ROUND((LN(F32/('TM-21 Inputs'!$I$35/100))/F31),-3))</f>
        <v/>
      </c>
    </row>
    <row r="34" ht="30" customHeight="1" spans="5:6">
      <c r="E34" s="35" t="str">
        <f>CONCATENATE("Reported L",'TM-21 Inputs'!I35," (hrs):")</f>
        <v>Reported L90 (hrs):</v>
      </c>
      <c r="F34" s="36" t="str">
        <f>IF('TM-21 Inputs'!I23="","",IF(OR(AND('TM-21 Inputs'!$I$18&gt;=20,$F$33&lt;6*'TM-21 Inputs'!$I$19),AND('TM-21 Inputs'!$I$18&gt;=10,'TM-21 Inputs'!$I$18&lt;=19,$F$33&lt;5.5*'TM-21 Inputs'!$I$19)),ROUND(F33,-3),IF('TM-21 Inputs'!$I$18&gt;=20,CONCATENATE("&gt;",ROUND((6*'TM-21 Inputs'!$I$19),-3)),IF(AND('TM-21 Inputs'!$I$18&gt;=10,'TM-21 Inputs'!$I$18&lt;=19),CONCATENATE("&gt;",ROUND((5.5*'TM-21 Inputs'!$I$19),-3)),"error"))))</f>
        <v/>
      </c>
    </row>
  </sheetData>
  <sheetProtection password="C696" sheet="1" objects="1" scenarios="1"/>
  <mergeCells count="2">
    <mergeCell ref="D4:J4"/>
    <mergeCell ref="E28:F28"/>
  </mergeCells>
  <pageMargins left="0.7" right="0.7" top="0.75" bottom="0.75" header="0.3" footer="0.3"/>
  <pageSetup paperSize="1"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Company>DRINTL</Company>
  <Application>Microsoft Excel</Application>
  <HeadingPairs>
    <vt:vector size="2" baseType="variant">
      <vt:variant>
        <vt:lpstr>工作表</vt:lpstr>
      </vt:variant>
      <vt:variant>
        <vt:i4>9</vt:i4>
      </vt:variant>
    </vt:vector>
  </HeadingPairs>
  <TitlesOfParts>
    <vt:vector size="9" baseType="lpstr">
      <vt:lpstr>rev. 020712</vt:lpstr>
      <vt:lpstr>TM-21 Inputs</vt:lpstr>
      <vt:lpstr>Product Inputs</vt:lpstr>
      <vt:lpstr>TM-21 Projection</vt:lpstr>
      <vt:lpstr>TM-21 Report</vt:lpstr>
      <vt:lpstr>Hide when public ==&gt;</vt:lpstr>
      <vt:lpstr>Calculations - Case Temp 1</vt:lpstr>
      <vt:lpstr>Calculations - Case Temp 2</vt:lpstr>
      <vt:lpstr>Calculations - Case Temp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Lauf</dc:creator>
  <cp:lastModifiedBy>Tina Liu</cp:lastModifiedBy>
  <dcterms:created xsi:type="dcterms:W3CDTF">2011-11-01T14:53:00Z</dcterms:created>
  <cp:lastPrinted>2012-02-04T04:34:00Z</cp:lastPrinted>
  <dcterms:modified xsi:type="dcterms:W3CDTF">2022-05-16T02:29:19Z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_SA">
    <vt:lpwstr>E:\Documents\Lm-80\Standard\IES_TM-21\TM-21Calculator.xlsx</vt:lpwstr>
  </property>
  <property fmtid="{D5CDD505-2E9C-101B-9397-08002B2CF9AE}" pid="3" name="MSIP_Label_1c8e0fde-d954-47be-ab67-d16694a3feef_Enabled">
    <vt:lpwstr>True</vt:lpwstr>
  </property>
  <property fmtid="{D5CDD505-2E9C-101B-9397-08002B2CF9AE}" pid="4" name="MSIP_Label_1c8e0fde-d954-47be-ab67-d16694a3feef_SiteId">
    <vt:lpwstr>ec1ca250-c234-4d56-a76b-7dfb9eee0c46</vt:lpwstr>
  </property>
  <property fmtid="{D5CDD505-2E9C-101B-9397-08002B2CF9AE}" pid="5" name="MSIP_Label_1c8e0fde-d954-47be-ab67-d16694a3feef_Owner">
    <vt:lpwstr>D.Huang@osram.com</vt:lpwstr>
  </property>
  <property fmtid="{D5CDD505-2E9C-101B-9397-08002B2CF9AE}" pid="6" name="MSIP_Label_1c8e0fde-d954-47be-ab67-d16694a3feef_SetDate">
    <vt:lpwstr>2020-08-26T09:45:26.7169773Z</vt:lpwstr>
  </property>
  <property fmtid="{D5CDD505-2E9C-101B-9397-08002B2CF9AE}" pid="7" name="MSIP_Label_1c8e0fde-d954-47be-ab67-d16694a3feef_Name">
    <vt:lpwstr>Internal Use</vt:lpwstr>
  </property>
  <property fmtid="{D5CDD505-2E9C-101B-9397-08002B2CF9AE}" pid="8" name="MSIP_Label_1c8e0fde-d954-47be-ab67-d16694a3feef_Application">
    <vt:lpwstr>Microsoft Azure Information Protection</vt:lpwstr>
  </property>
  <property fmtid="{D5CDD505-2E9C-101B-9397-08002B2CF9AE}" pid="9" name="MSIP_Label_1c8e0fde-d954-47be-ab67-d16694a3feef_ActionId">
    <vt:lpwstr>180c32a2-7649-412d-a57b-c52c2afc2150</vt:lpwstr>
  </property>
  <property fmtid="{D5CDD505-2E9C-101B-9397-08002B2CF9AE}" pid="10" name="MSIP_Label_1c8e0fde-d954-47be-ab67-d16694a3feef_Extended_MSFT_Method">
    <vt:lpwstr>Automatic</vt:lpwstr>
  </property>
  <property fmtid="{D5CDD505-2E9C-101B-9397-08002B2CF9AE}" pid="11" name="MSIP_Label_f9dda1df-3fca-45c7-91be-5629a3733338_Enabled">
    <vt:lpwstr>True</vt:lpwstr>
  </property>
  <property fmtid="{D5CDD505-2E9C-101B-9397-08002B2CF9AE}" pid="12" name="MSIP_Label_f9dda1df-3fca-45c7-91be-5629a3733338_SiteId">
    <vt:lpwstr>ec1ca250-c234-4d56-a76b-7dfb9eee0c46</vt:lpwstr>
  </property>
  <property fmtid="{D5CDD505-2E9C-101B-9397-08002B2CF9AE}" pid="13" name="MSIP_Label_f9dda1df-3fca-45c7-91be-5629a3733338_Owner">
    <vt:lpwstr>D.Huang@osram.com</vt:lpwstr>
  </property>
  <property fmtid="{D5CDD505-2E9C-101B-9397-08002B2CF9AE}" pid="14" name="MSIP_Label_f9dda1df-3fca-45c7-91be-5629a3733338_SetDate">
    <vt:lpwstr>2020-08-26T09:45:26.7169773Z</vt:lpwstr>
  </property>
  <property fmtid="{D5CDD505-2E9C-101B-9397-08002B2CF9AE}" pid="15" name="MSIP_Label_f9dda1df-3fca-45c7-91be-5629a3733338_Name">
    <vt:lpwstr>All employees (unprotected)</vt:lpwstr>
  </property>
  <property fmtid="{D5CDD505-2E9C-101B-9397-08002B2CF9AE}" pid="16" name="MSIP_Label_f9dda1df-3fca-45c7-91be-5629a3733338_Application">
    <vt:lpwstr>Microsoft Azure Information Protection</vt:lpwstr>
  </property>
  <property fmtid="{D5CDD505-2E9C-101B-9397-08002B2CF9AE}" pid="17" name="MSIP_Label_f9dda1df-3fca-45c7-91be-5629a3733338_ActionId">
    <vt:lpwstr>180c32a2-7649-412d-a57b-c52c2afc2150</vt:lpwstr>
  </property>
  <property fmtid="{D5CDD505-2E9C-101B-9397-08002B2CF9AE}" pid="18" name="MSIP_Label_f9dda1df-3fca-45c7-91be-5629a3733338_Parent">
    <vt:lpwstr>1c8e0fde-d954-47be-ab67-d16694a3feef</vt:lpwstr>
  </property>
  <property fmtid="{D5CDD505-2E9C-101B-9397-08002B2CF9AE}" pid="19" name="MSIP_Label_f9dda1df-3fca-45c7-91be-5629a3733338_Extended_MSFT_Method">
    <vt:lpwstr>Automatic</vt:lpwstr>
  </property>
  <property fmtid="{D5CDD505-2E9C-101B-9397-08002B2CF9AE}" pid="20" name="Sensitivity">
    <vt:lpwstr>Internal Use All employees (unprotected)</vt:lpwstr>
  </property>
  <property fmtid="{D5CDD505-2E9C-101B-9397-08002B2CF9AE}" pid="21" name="ICV">
    <vt:lpwstr>E57344F08C2445949B726FCC48EF9238</vt:lpwstr>
  </property>
  <property fmtid="{D5CDD505-2E9C-101B-9397-08002B2CF9AE}" pid="22" name="KSOProductBuildVer">
    <vt:lpwstr>2052-11.1.0.11365</vt:lpwstr>
  </property>
</Properties>
</file>